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eve\Documents\_Steve\Astronomy\IOTA\Reports\mpReports\"/>
    </mc:Choice>
  </mc:AlternateContent>
  <xr:revisionPtr revIDLastSave="0" documentId="13_ncr:1_{9EA8FC22-946C-4214-9D68-CC0F7796F0C6}" xr6:coauthVersionLast="47" xr6:coauthVersionMax="47" xr10:uidLastSave="{00000000-0000-0000-0000-000000000000}"/>
  <bookViews>
    <workbookView xWindow="-120" yWindow="-120" windowWidth="29040" windowHeight="17520" firstSheet="1" activeTab="2" xr2:uid="{00000000-000D-0000-FFFF-FFFF00000000}"/>
  </bookViews>
  <sheets>
    <sheet name="Introduction" sheetId="8" r:id="rId1"/>
    <sheet name="Directions" sheetId="3" r:id="rId2"/>
    <sheet name="DATA" sheetId="1" r:id="rId3"/>
    <sheet name="TABLES" sheetId="2" r:id="rId4"/>
    <sheet name="LISTS" sheetId="4" r:id="rId5"/>
    <sheet name="Corrections Tables" sheetId="5" r:id="rId6"/>
    <sheet name="Corrections Calculations" sheetId="7" r:id="rId7"/>
    <sheet name="Sheet1" sheetId="6" state="hidden" r:id="rId8"/>
  </sheets>
  <externalReferences>
    <externalReference r:id="rId9"/>
  </externalReferences>
  <definedNames>
    <definedName name="_">DATA!$B$26</definedName>
    <definedName name="_Address">DATA!$D$11</definedName>
    <definedName name="_Altitude">DATA!$V$18</definedName>
    <definedName name="_AltType">DATA!$W$18</definedName>
    <definedName name="_Aperture">DATA!$E$20</definedName>
    <definedName name="_AppType">DATA!$H$20</definedName>
    <definedName name="_ASHr">DATA!$F$36</definedName>
    <definedName name="_ASMi">DATA!$H$36</definedName>
    <definedName name="_ASRem">DATA!$P$36</definedName>
    <definedName name="_ASSe">DATA!$J$36</definedName>
    <definedName name="_AstName">DATA!$K$7</definedName>
    <definedName name="_AstNum">DATA!$E$7</definedName>
    <definedName name="_AstVisible">DATA!$AA$22</definedName>
    <definedName name="_CAHr">'Corrections Calculations'!$K$58</definedName>
    <definedName name="_CamDelApplied">DATA!$AC$26</definedName>
    <definedName name="_CamExpArrayHeader">'Corrections Tables'!$J$70:$AI$70</definedName>
    <definedName name="_CamExpArrayTable">'Corrections Tables'!$J$71:$AI$96</definedName>
    <definedName name="_CamFormat">DATA!$L$25</definedName>
    <definedName name="_CAMi">'Corrections Calculations'!$M$58</definedName>
    <definedName name="_CamIDelay">DATA!$B$26</definedName>
    <definedName name="_CamOther">DATA!$V$25</definedName>
    <definedName name="_CamType">DATA!$E$25</definedName>
    <definedName name="_CamUnit">DATA!$AB$29</definedName>
    <definedName name="_CamX">DATA!$AC$29</definedName>
    <definedName name="_CARem">'Corrections Calculations'!$Z$58</definedName>
    <definedName name="_CASe">'Corrections Calculations'!$O$58</definedName>
    <definedName name="_City">DATA!$D$13</definedName>
    <definedName name="_Cloud">DATA!$H$27</definedName>
    <definedName name="_CorrD_Name">'Corrections Calculations'!$G$57</definedName>
    <definedName name="_CorrR_Name">'Corrections Calculations'!$G$59</definedName>
    <definedName name="_DAcc">'Corrections Calculations'!$O$57</definedName>
    <definedName name="_Datum">DATA!$AA$18</definedName>
    <definedName name="_Day">DATA!$P$5</definedName>
    <definedName name="_DHr">'Corrections Calculations'!$K$57</definedName>
    <definedName name="_DMi">'Corrections Calculations'!$L$57</definedName>
    <definedName name="_DPE">'Corrections Calculations'!$Q$56</definedName>
    <definedName name="_DPEApp">'Corrections Calculations'!$R$56</definedName>
    <definedName name="_DRem">'Corrections Calculations'!$W$57</definedName>
    <definedName name="_DSe">'Corrections Calculations'!$M$57</definedName>
    <definedName name="_EOHr">DATA!$F$37</definedName>
    <definedName name="_EOMi">DATA!$H$37</definedName>
    <definedName name="_EORem">DATA!$P$37</definedName>
    <definedName name="_EorW">DATA!$R$18</definedName>
    <definedName name="_EOSe">DATA!$J$37</definedName>
    <definedName name="_ExpDropDownList">TABLES!$B$2:$B$19</definedName>
    <definedName name="_Exposure">DATA!$P$25</definedName>
    <definedName name="_Fax">DATA!$S$13</definedName>
    <definedName name="_xlnm._FilterDatabase" localSheetId="2" hidden="1">DATA!$P$9:$AC$9</definedName>
    <definedName name="_xlnm._FilterDatabase" localSheetId="4" hidden="1">LISTS!$L$30:$L$33</definedName>
    <definedName name="_xlnm._FilterDatabase" localSheetId="3" hidden="1">TABLES!$A$70:$A$72</definedName>
    <definedName name="_fRatio">DATA!$L$20</definedName>
    <definedName name="_Latitude">DATA!$E$18</definedName>
    <definedName name="_LatType">DATA!$E$17</definedName>
    <definedName name="_Location">DATA!$E$15</definedName>
    <definedName name="_Longitude">DATA!$N$18</definedName>
    <definedName name="_LonType">DATA!$N$17</definedName>
    <definedName name="_Mag">DATA!$P$20</definedName>
    <definedName name="_Mialto">DATA!$S$9</definedName>
    <definedName name="_Miss">DATA!$W$38</definedName>
    <definedName name="_Month">DATA!$K$5</definedName>
    <definedName name="_NorS">DATA!$J$18</definedName>
    <definedName name="_Observer">DATA!$D$9</definedName>
    <definedName name="_OTA_Used">DATA!$O$23</definedName>
    <definedName name="_OTE_List">'Corrections Calculations'!$Q$44:$Q$50</definedName>
    <definedName name="_OtherCond">DATA!$X$27</definedName>
    <definedName name="_Phone">DATA!$S$11</definedName>
    <definedName name="_PHour">DATA!$Y$5</definedName>
    <definedName name="_PMin">DATA!$AA$5</definedName>
    <definedName name="_PosNeg">DATA!$A$2</definedName>
    <definedName name="_PSec">DATA!$AC$5</definedName>
    <definedName name="_RAcc">'Corrections Calculations'!$O$59</definedName>
    <definedName name="_Remark1">DATA!$D$42</definedName>
    <definedName name="_Remark2">DATA!$D$43</definedName>
    <definedName name="_Remark3">DATA!$D$44</definedName>
    <definedName name="_RHr">'Corrections Calculations'!$K$59</definedName>
    <definedName name="_RMi">'Corrections Calculations'!$L$59</definedName>
    <definedName name="_RPE">'Corrections Calculations'!$Q$58</definedName>
    <definedName name="_RPEApp">'Corrections Calculations'!$R$58</definedName>
    <definedName name="_RRem">'Corrections Calculations'!$W$59</definedName>
    <definedName name="_RSe">'Corrections Calculations'!$M$59</definedName>
    <definedName name="_RunCamInt">TABLES!$A$70:$A$72</definedName>
    <definedName name="_SAMi">DATA!$H$36</definedName>
    <definedName name="_ScopeType">DATA!$T$20</definedName>
    <definedName name="_SecondStar">DATA!$D$40</definedName>
    <definedName name="_SMHr">DATA!$F$32</definedName>
    <definedName name="_SMMi">DATA!$H$32</definedName>
    <definedName name="_SMRem">DATA!$P$32</definedName>
    <definedName name="_SMSe">DATA!$J$32</definedName>
    <definedName name="_SNR">DATA!$W$40</definedName>
    <definedName name="_SOHr">DATA!$F$31</definedName>
    <definedName name="_SOMi">DATA!$H$31</definedName>
    <definedName name="_SORem">DATA!$P$31</definedName>
    <definedName name="_SOSe">DATA!$J$31</definedName>
    <definedName name="_Stability">DATA!$P$27</definedName>
    <definedName name="_StarCat">DATA!$S$7</definedName>
    <definedName name="_StarNum">DATA!$X$7</definedName>
    <definedName name="_TimeMethod">DATA!$O$22</definedName>
    <definedName name="_TimeSource">DATA!$E$22</definedName>
    <definedName name="_Version">DATA!$Z$2</definedName>
    <definedName name="_VTI_Type">DATA!$E$23</definedName>
    <definedName name="_Year">DATA!$D$5</definedName>
    <definedName name="_YValue" comment="Inserts text to insert star Y value when camera = Night Eagle Astro">DATA!$H$26</definedName>
    <definedName name="Altitude">TABLES!$G$9:$G$10</definedName>
    <definedName name="CameraRate">TABLES!$F$60:$F$64</definedName>
    <definedName name="Clouds">TABLES!$F$37:$F$44</definedName>
    <definedName name="Conditions">TABLES!$F$26:$F$29</definedName>
    <definedName name="Cor_Camera_List">'Corrections Calculations'!$B$10:$B$35</definedName>
    <definedName name="Corrected_Calculations">'Corrections Calculations'!$F$57:$AH$59</definedName>
    <definedName name="Datum">TABLES!$F$1:$F$7</definedName>
    <definedName name="DDecHr">'Corrections Calculations'!$K$45</definedName>
    <definedName name="DDecMin">'Corrections Calculations'!$K$44</definedName>
    <definedName name="DDecSec">'Corrections Calculations'!$K$43</definedName>
    <definedName name="DDecTotal">'Corrections Calculations'!$K$42</definedName>
    <definedName name="DegMinSec">TABLES!$F$33:$F$35</definedName>
    <definedName name="DegMinSecs">TABLES!$F$33</definedName>
    <definedName name="Degrees">TABLES!$F$33</definedName>
    <definedName name="Detector">TABLES!$B$61:$B$86</definedName>
    <definedName name="DTime_Equivalent_of_Tot_Corr">'Corrections Calculations'!$K$40</definedName>
    <definedName name="DTotal_Corr">'Corrections Calculations'!$K$41</definedName>
    <definedName name="Format2">TABLES!$E$60:$E$66</definedName>
    <definedName name="InchCm">TABLES!$H$9:$H$10</definedName>
    <definedName name="Latitude">TABLES!$C$9:$C$10</definedName>
    <definedName name="Longitude">TABLES!$E$9:$E$10</definedName>
    <definedName name="Method">TABLES!$F$17:$F$24</definedName>
    <definedName name="Miss">TABLES!$D$37:$D$39</definedName>
    <definedName name="mm">[1]TABLES!$D$36:$D$38</definedName>
    <definedName name="Months">TABLES!$A$30:$A$41</definedName>
    <definedName name="NTSC_CORR">'Corrections Calculations'!$D$10:$D$35</definedName>
    <definedName name="NTSC_CORR_R">'Corrections Calculations'!$F$10:$F$35</definedName>
    <definedName name="OTA">TABLES!$A$60:$A$67</definedName>
    <definedName name="PAL_CORR">'Corrections Calculations'!$C$10:$C$35</definedName>
    <definedName name="PAL_CORR_R">'Corrections Calculations'!$E$10:$E$35</definedName>
    <definedName name="PE_2">TABLES!$A$43:$A$50</definedName>
    <definedName name="_xlnm.Print_Area" localSheetId="2">DATA!$A$1:$AC$46</definedName>
    <definedName name="RDecHr">'Corrections Calculations'!$K$49</definedName>
    <definedName name="RDecMin">'Corrections Calculations'!$K$50</definedName>
    <definedName name="RDecSec">'Corrections Calculations'!$K$51</definedName>
    <definedName name="RDecTotal">'Corrections Calculations'!$K$52</definedName>
    <definedName name="Results">TABLES!$A$12:$A$14</definedName>
    <definedName name="RIO">DATA!$P$8</definedName>
    <definedName name="RTime_Equivalent_of_Tot_Corr">'Corrections Calculations'!$K$54</definedName>
    <definedName name="RTotal_Corr">'Corrections Calculations'!$K$53</definedName>
    <definedName name="RunCamInt">TABLES!$A$70:$A$72</definedName>
    <definedName name="Seeing">TABLES!$H$17:$H$19</definedName>
    <definedName name="Stability">TABLES!$F$48:$F$50</definedName>
    <definedName name="Star">TABLES!$A$1:$A$9</definedName>
    <definedName name="Stars">TABLES!$F$10:$F$13</definedName>
    <definedName name="Telescope">TABLES!$A$52:$A$58</definedName>
    <definedName name="Telescopes">TABLES!$A$12:$A$16</definedName>
    <definedName name="Timer">LISTS!$K$6:$N$16</definedName>
    <definedName name="Timer2">TABLES!$B$88:$B$100</definedName>
    <definedName name="Timers">LISTS!$K$6:$N$16</definedName>
    <definedName name="TimeSource">TABLES!$I$9:$I$14</definedName>
    <definedName name="Timing">TABLES!$A$20:$A$27</definedName>
    <definedName name="Units">TABLES!$F$60:$F$63</definedName>
    <definedName name="VTIoff_NTSC_EIA">'Corrections Calculations'!$S$44:$S$50</definedName>
    <definedName name="VTIoff_PAL_CCIR">'Corrections Calculations'!$R$44:$R$50</definedName>
    <definedName name="Weight">TABLES!$B$42:$B$50</definedName>
    <definedName name="Year">TABLES!$C$27:$C$32</definedName>
    <definedName name="YesNo">TABLES!$C$17:$C$18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7" l="1"/>
  <c r="F23" i="7"/>
  <c r="F34" i="7"/>
  <c r="E34" i="7"/>
  <c r="B26" i="1"/>
  <c r="D13" i="7"/>
  <c r="C27" i="2"/>
  <c r="C28" i="2"/>
  <c r="C29" i="2"/>
  <c r="C30" i="2"/>
  <c r="C31" i="2"/>
  <c r="C32" i="2"/>
  <c r="C33" i="2"/>
  <c r="C34" i="2"/>
  <c r="C35" i="2"/>
  <c r="E24" i="5"/>
  <c r="C13" i="7"/>
  <c r="F13" i="7"/>
  <c r="D15" i="7"/>
  <c r="D19" i="7"/>
  <c r="F24" i="5"/>
  <c r="D12" i="7"/>
  <c r="J46" i="7"/>
  <c r="G48" i="7"/>
  <c r="K49" i="7"/>
  <c r="H48" i="7"/>
  <c r="K50" i="7"/>
  <c r="I48" i="7"/>
  <c r="K51" i="7"/>
  <c r="K52" i="7"/>
  <c r="F12" i="7"/>
  <c r="F15" i="7"/>
  <c r="F19" i="7"/>
  <c r="F33" i="7"/>
  <c r="S50" i="7"/>
  <c r="K48" i="7"/>
  <c r="L48" i="7"/>
  <c r="K53" i="7"/>
  <c r="L49" i="7"/>
  <c r="M59" i="7"/>
  <c r="J35" i="1"/>
  <c r="I46" i="7"/>
  <c r="K43" i="7"/>
  <c r="H46" i="7"/>
  <c r="K44" i="7"/>
  <c r="G46" i="7"/>
  <c r="K45" i="7"/>
  <c r="K42" i="7"/>
  <c r="K46" i="7"/>
  <c r="L46" i="7"/>
  <c r="K41" i="7"/>
  <c r="L45" i="7"/>
  <c r="M57" i="7"/>
  <c r="A34" i="1"/>
  <c r="A36" i="1"/>
  <c r="A32" i="1"/>
  <c r="Q30" i="1"/>
  <c r="D10" i="7"/>
  <c r="L40" i="5"/>
  <c r="Q42" i="5"/>
  <c r="Q40" i="5"/>
  <c r="D23" i="7"/>
  <c r="F10" i="7"/>
  <c r="L44" i="5"/>
  <c r="Q46" i="5"/>
  <c r="Q44" i="5"/>
  <c r="D24" i="1"/>
  <c r="S47" i="7"/>
  <c r="R50" i="7"/>
  <c r="S49" i="7"/>
  <c r="R49" i="7"/>
  <c r="F35" i="7"/>
  <c r="E35" i="7"/>
  <c r="E33" i="7"/>
  <c r="D21" i="7"/>
  <c r="F21" i="7"/>
  <c r="D11" i="7"/>
  <c r="F11" i="7"/>
  <c r="D22" i="7"/>
  <c r="F22" i="7"/>
  <c r="L50" i="7"/>
  <c r="L59" i="7"/>
  <c r="L44" i="7"/>
  <c r="L57" i="7"/>
  <c r="L51" i="7"/>
  <c r="K59" i="7"/>
  <c r="L43" i="7"/>
  <c r="K57" i="7"/>
  <c r="J33" i="1"/>
  <c r="L58" i="5"/>
  <c r="Q60" i="5"/>
  <c r="Q58" i="5"/>
  <c r="E23" i="7"/>
  <c r="L54" i="5"/>
  <c r="Q56" i="5"/>
  <c r="Q54" i="5"/>
  <c r="C23" i="7"/>
  <c r="F33" i="1"/>
  <c r="D17" i="7"/>
  <c r="D24" i="7"/>
  <c r="C24" i="7"/>
  <c r="E24" i="7"/>
  <c r="F24" i="7"/>
  <c r="E25" i="7"/>
  <c r="F25" i="7"/>
  <c r="E26" i="7"/>
  <c r="F26" i="7"/>
  <c r="E27" i="7"/>
  <c r="F27" i="7"/>
  <c r="E28" i="7"/>
  <c r="F28" i="7"/>
  <c r="E29" i="7"/>
  <c r="F29" i="7"/>
  <c r="E30" i="7"/>
  <c r="F30" i="7"/>
  <c r="E31" i="7"/>
  <c r="F31" i="7"/>
  <c r="E32" i="7"/>
  <c r="F32" i="7"/>
  <c r="F17" i="7"/>
  <c r="E8" i="7"/>
  <c r="F8" i="7"/>
  <c r="C10" i="7"/>
  <c r="E10" i="7"/>
  <c r="C11" i="7"/>
  <c r="E11" i="7"/>
  <c r="C12" i="7"/>
  <c r="E12" i="7"/>
  <c r="E13" i="7"/>
  <c r="C14" i="7"/>
  <c r="E14" i="7"/>
  <c r="F38" i="5"/>
  <c r="D14" i="7"/>
  <c r="F14" i="7"/>
  <c r="C15" i="7"/>
  <c r="E15" i="7"/>
  <c r="C16" i="7"/>
  <c r="E16" i="7"/>
  <c r="D16" i="7"/>
  <c r="F16" i="7"/>
  <c r="C18" i="7"/>
  <c r="E18" i="7"/>
  <c r="D18" i="7"/>
  <c r="F18" i="7"/>
  <c r="C19" i="7"/>
  <c r="E19" i="7"/>
  <c r="C20" i="7"/>
  <c r="E20" i="7"/>
  <c r="D20" i="7"/>
  <c r="F20" i="7"/>
  <c r="C21" i="7"/>
  <c r="E21" i="7"/>
  <c r="C22" i="7"/>
  <c r="E22" i="7"/>
  <c r="Q55" i="5"/>
  <c r="Q45" i="5"/>
  <c r="Q41" i="5"/>
  <c r="Q59" i="5"/>
  <c r="O57" i="7"/>
  <c r="O59" i="7"/>
  <c r="K54" i="7"/>
  <c r="AB34" i="1"/>
  <c r="Z34" i="1"/>
  <c r="K40" i="7"/>
  <c r="W34" i="1"/>
  <c r="V34" i="1"/>
  <c r="I26" i="1"/>
  <c r="O26" i="1"/>
  <c r="H33" i="1"/>
  <c r="F35" i="1"/>
  <c r="H35" i="1"/>
  <c r="Q26" i="1"/>
  <c r="K26" i="1"/>
  <c r="K45" i="5"/>
  <c r="A35" i="1"/>
  <c r="K35" i="1"/>
  <c r="K33" i="1"/>
  <c r="A33" i="1"/>
  <c r="K58" i="7"/>
  <c r="AF58" i="7"/>
  <c r="E25" i="5"/>
  <c r="E27" i="5"/>
  <c r="J8" i="7"/>
  <c r="I8" i="7"/>
  <c r="D8" i="7"/>
  <c r="C8" i="7"/>
  <c r="B8" i="7"/>
  <c r="K41" i="5"/>
  <c r="K59" i="5"/>
  <c r="K55" i="5"/>
  <c r="E26" i="5"/>
  <c r="E28" i="5"/>
  <c r="E29" i="5"/>
  <c r="E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Brad Timerson</author>
    <author>Tony George</author>
    <author>BradWTimerson</author>
  </authors>
  <commentList>
    <comment ref="V18" authorId="0" shapeId="0" xr:uid="{00000000-0006-0000-0200-000001000000}">
      <text>
        <r>
          <rPr>
            <sz val="9"/>
            <color indexed="81"/>
            <rFont val="Tahoma"/>
            <charset val="1"/>
          </rPr>
          <t xml:space="preserve">Use Google Earth to determine and report elevations.  Google Earth reports elevations with reference to </t>
        </r>
        <r>
          <rPr>
            <b/>
            <sz val="9"/>
            <color indexed="81"/>
            <rFont val="Tahoma"/>
            <family val="2"/>
          </rPr>
          <t xml:space="preserve">Mean Sea Level </t>
        </r>
        <r>
          <rPr>
            <sz val="9"/>
            <color indexed="81"/>
            <rFont val="Tahoma"/>
            <charset val="1"/>
          </rPr>
          <t xml:space="preserve">which is the required elevation format.
</t>
        </r>
      </text>
    </comment>
    <comment ref="AA18" authorId="0" shapeId="0" xr:uid="{00000000-0006-0000-0200-000002000000}">
      <text>
        <r>
          <rPr>
            <sz val="9"/>
            <color indexed="81"/>
            <rFont val="Tahoma"/>
            <charset val="1"/>
          </rPr>
          <t xml:space="preserve">Select the horizontal datum from the drop-down list. Preferred datum is </t>
        </r>
        <r>
          <rPr>
            <b/>
            <sz val="9"/>
            <color indexed="81"/>
            <rFont val="Tahoma"/>
            <family val="2"/>
          </rPr>
          <t>WGS84</t>
        </r>
        <r>
          <rPr>
            <sz val="9"/>
            <color indexed="81"/>
            <rFont val="Tahoma"/>
            <charset val="1"/>
          </rPr>
          <t>, which is used by Google Earth.</t>
        </r>
      </text>
    </comment>
    <comment ref="L20" authorId="1" shapeId="0" xr:uid="{00000000-0006-0000-0200-000003000000}">
      <text>
        <r>
          <rPr>
            <sz val="9"/>
            <color indexed="81"/>
            <rFont val="Tahoma"/>
            <family val="2"/>
          </rPr>
          <t>Combined f/ratio of telescope and any focal reducer used</t>
        </r>
      </text>
    </comment>
    <comment ref="P20" authorId="1" shapeId="0" xr:uid="{00000000-0006-0000-0200-000004000000}">
      <text>
        <r>
          <rPr>
            <sz val="9"/>
            <color indexed="81"/>
            <rFont val="Tahoma"/>
            <family val="2"/>
          </rPr>
          <t>Magnification is only required for visual observations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5" authorId="2" shapeId="0" xr:uid="{00000000-0006-0000-0200-000005000000}">
      <text>
        <r>
          <rPr>
            <sz val="9"/>
            <color indexed="81"/>
            <rFont val="Tahoma"/>
            <family val="2"/>
          </rPr>
          <t xml:space="preserve">         Use Drop Down Box to Make Entry
As Per Following Table For Integrating Cameras    
             </t>
        </r>
        <r>
          <rPr>
            <sz val="9"/>
            <color indexed="81"/>
            <rFont val="Calibri"/>
            <family val="2"/>
          </rPr>
          <t xml:space="preserve">  All Entries are in Units of Fields
Allowed
</t>
        </r>
        <r>
          <rPr>
            <u/>
            <sz val="9"/>
            <color indexed="81"/>
            <rFont val="Calibri"/>
            <family val="2"/>
          </rPr>
          <t>Entries  |    120N         |   120N+      |  Night Eagle Astro</t>
        </r>
        <r>
          <rPr>
            <sz val="9"/>
            <color indexed="81"/>
            <rFont val="Calibri"/>
            <family val="2"/>
          </rPr>
          <t xml:space="preserve">
None [For Visual, Photometer, CCD Drift Scan, Other]
1x                 use 1x for non-integrating cameras 
                       or integrating cameras with integration turned off 
2x                 Frame 1          Slow 1         NS1   
4x                 Frame 2          Slow 2         NS2 
</t>
        </r>
        <r>
          <rPr>
            <sz val="9"/>
            <color indexed="10"/>
            <rFont val="Calibri"/>
            <family val="2"/>
          </rPr>
          <t xml:space="preserve">6x </t>
        </r>
        <r>
          <rPr>
            <sz val="9"/>
            <color indexed="81"/>
            <rFont val="Calibri"/>
            <family val="2"/>
          </rPr>
          <t xml:space="preserve">                
8x                 Frame 4          Slow 3         NS3 
</t>
        </r>
        <r>
          <rPr>
            <sz val="9"/>
            <color indexed="10"/>
            <rFont val="Calibri"/>
            <family val="2"/>
          </rPr>
          <t>10x    
12x</t>
        </r>
        <r>
          <rPr>
            <sz val="9"/>
            <color indexed="81"/>
            <rFont val="Calibri"/>
            <family val="2"/>
          </rPr>
          <t xml:space="preserve">    
</t>
        </r>
        <r>
          <rPr>
            <sz val="9"/>
            <color indexed="10"/>
            <rFont val="Calibri"/>
            <family val="2"/>
          </rPr>
          <t>14x</t>
        </r>
        <r>
          <rPr>
            <sz val="9"/>
            <color indexed="81"/>
            <rFont val="Calibri"/>
            <family val="2"/>
          </rPr>
          <t xml:space="preserve">    
16x               Frame 8         Slow 4  
</t>
        </r>
        <r>
          <rPr>
            <sz val="9"/>
            <color indexed="10"/>
            <rFont val="Calibri"/>
            <family val="2"/>
          </rPr>
          <t>24x</t>
        </r>
        <r>
          <rPr>
            <sz val="9"/>
            <color indexed="81"/>
            <rFont val="Calibri"/>
            <family val="2"/>
          </rPr>
          <t xml:space="preserve">    
32x               Frame 16      Slow 5  
</t>
        </r>
        <r>
          <rPr>
            <sz val="9"/>
            <color indexed="10"/>
            <rFont val="Calibri"/>
            <family val="2"/>
          </rPr>
          <t xml:space="preserve">48x </t>
        </r>
        <r>
          <rPr>
            <sz val="9"/>
            <color indexed="81"/>
            <rFont val="Calibri"/>
            <family val="2"/>
          </rPr>
          <t xml:space="preserve">   
64x               Frame 32      Slow 6  
</t>
        </r>
        <r>
          <rPr>
            <sz val="9"/>
            <color indexed="10"/>
            <rFont val="Calibri"/>
            <family val="2"/>
          </rPr>
          <t>96x</t>
        </r>
        <r>
          <rPr>
            <sz val="9"/>
            <color indexed="81"/>
            <rFont val="Calibri"/>
            <family val="2"/>
          </rPr>
          <t xml:space="preserve">    
128x            Frame 64      Slow 7  
256x            Frame 128   Slow 8  
512x            Frame 256   Slow 9  
</t>
        </r>
        <r>
          <rPr>
            <sz val="9"/>
            <color indexed="10"/>
            <rFont val="Calibri"/>
            <family val="2"/>
          </rPr>
          <t>Items in RED are not recommended for use!</t>
        </r>
        <r>
          <rPr>
            <sz val="9"/>
            <color indexed="81"/>
            <rFont val="Calibri"/>
            <family val="2"/>
          </rPr>
          <t xml:space="preserve">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Brad Timerson</author>
  </authors>
  <commentList>
    <comment ref="L3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For Reference only</t>
        </r>
        <r>
          <rPr>
            <sz val="9"/>
            <color indexed="81"/>
            <rFont val="Tahoma"/>
            <family val="2"/>
          </rPr>
          <t xml:space="preserve">
Click cell to get full list.</t>
        </r>
      </text>
    </comment>
    <comment ref="L52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 xml:space="preserve">For Reference only
</t>
        </r>
        <r>
          <rPr>
            <sz val="9"/>
            <color indexed="81"/>
            <rFont val="Tahoma"/>
            <family val="2"/>
          </rPr>
          <t>Click cell to get full list.</t>
        </r>
      </text>
    </comment>
  </commentList>
</comments>
</file>

<file path=xl/sharedStrings.xml><?xml version="1.0" encoding="utf-8"?>
<sst xmlns="http://schemas.openxmlformats.org/spreadsheetml/2006/main" count="1595" uniqueCount="579">
  <si>
    <t>Year:</t>
  </si>
  <si>
    <t>Month:</t>
  </si>
  <si>
    <t>Email:</t>
  </si>
  <si>
    <t>Phone:</t>
  </si>
  <si>
    <t>Fax:</t>
  </si>
  <si>
    <t>Datum:</t>
  </si>
  <si>
    <t>E</t>
  </si>
  <si>
    <t>Telescope:</t>
  </si>
  <si>
    <t>f/ratio:</t>
  </si>
  <si>
    <t>Magnification:</t>
  </si>
  <si>
    <t>Type:</t>
  </si>
  <si>
    <t>Newtonian</t>
  </si>
  <si>
    <t>Refractor</t>
  </si>
  <si>
    <t>Dobsonian</t>
  </si>
  <si>
    <t>other</t>
  </si>
  <si>
    <t>N</t>
  </si>
  <si>
    <t>S</t>
  </si>
  <si>
    <t>W</t>
  </si>
  <si>
    <t>m</t>
  </si>
  <si>
    <t>ft</t>
  </si>
  <si>
    <t>Timing:</t>
  </si>
  <si>
    <t>GPS - other linking</t>
  </si>
  <si>
    <t>Video + audio time signal</t>
  </si>
  <si>
    <t>Stopwatch</t>
  </si>
  <si>
    <t>Tape Recorder + time signal</t>
  </si>
  <si>
    <t>Radio broadcast - calibrated</t>
  </si>
  <si>
    <t>GPS - time inserted</t>
  </si>
  <si>
    <t>Method:</t>
  </si>
  <si>
    <t>Visual, PE applied</t>
  </si>
  <si>
    <t>Visual, standard PE applied</t>
  </si>
  <si>
    <t>Visual, no PE applied</t>
  </si>
  <si>
    <t>Video with frame analysis</t>
  </si>
  <si>
    <t>Video, photo or photoelectric</t>
  </si>
  <si>
    <t>Only duration timed</t>
  </si>
  <si>
    <t>Drift scan</t>
  </si>
  <si>
    <t>Preliminary only</t>
  </si>
  <si>
    <t>NAD1927</t>
  </si>
  <si>
    <t>WGS84</t>
  </si>
  <si>
    <t>EP1950</t>
  </si>
  <si>
    <t>Tokyo</t>
  </si>
  <si>
    <t>GBSN80</t>
  </si>
  <si>
    <t>Conditions:</t>
  </si>
  <si>
    <t>Good</t>
  </si>
  <si>
    <t>Fair</t>
  </si>
  <si>
    <t>Poor</t>
  </si>
  <si>
    <t>Stability:</t>
  </si>
  <si>
    <t>wind</t>
  </si>
  <si>
    <t>clouds</t>
  </si>
  <si>
    <t>lights</t>
  </si>
  <si>
    <t>yes</t>
  </si>
  <si>
    <t>no</t>
  </si>
  <si>
    <t>Other conditions:</t>
  </si>
  <si>
    <t>Started Observing:</t>
  </si>
  <si>
    <t>N/S</t>
  </si>
  <si>
    <t>E/W</t>
  </si>
  <si>
    <t>Asteroid:</t>
  </si>
  <si>
    <t>Star:</t>
  </si>
  <si>
    <t>City, State, Country:</t>
  </si>
  <si>
    <t>Latitude:</t>
  </si>
  <si>
    <t>Longitude:</t>
  </si>
  <si>
    <t>m/ft</t>
  </si>
  <si>
    <t>Aperture:</t>
  </si>
  <si>
    <t>in</t>
  </si>
  <si>
    <t>cm</t>
  </si>
  <si>
    <t>unit</t>
  </si>
  <si>
    <t>Times</t>
  </si>
  <si>
    <t>Stopped Observing:</t>
  </si>
  <si>
    <t>Additional</t>
  </si>
  <si>
    <t>Comments</t>
  </si>
  <si>
    <t>:</t>
  </si>
  <si>
    <t>hh</t>
  </si>
  <si>
    <t>mm</t>
  </si>
  <si>
    <t>other - list in comments</t>
  </si>
  <si>
    <t>#</t>
  </si>
  <si>
    <t>Observations:</t>
  </si>
  <si>
    <t>Accuracy</t>
  </si>
  <si>
    <t>PE</t>
  </si>
  <si>
    <t>PE applied by observer</t>
  </si>
  <si>
    <t>NA</t>
  </si>
  <si>
    <t>ss.sss</t>
  </si>
  <si>
    <t>Name:</t>
  </si>
  <si>
    <t>Standard PE applied, 1.0 sec</t>
  </si>
  <si>
    <t>Asteroid Occultation Report Form</t>
  </si>
  <si>
    <t>Clear</t>
  </si>
  <si>
    <t>Fog</t>
  </si>
  <si>
    <t>Thin cloud &lt; 2</t>
  </si>
  <si>
    <t>Thick cloud &gt; 2</t>
  </si>
  <si>
    <t>Broken cloud</t>
  </si>
  <si>
    <t>Star faint</t>
  </si>
  <si>
    <t>Averted vision</t>
  </si>
  <si>
    <t>Steady</t>
  </si>
  <si>
    <t>Slight flickering</t>
  </si>
  <si>
    <t>Strong flickering</t>
  </si>
  <si>
    <t>Clouds:</t>
  </si>
  <si>
    <t>Mailing Address:</t>
  </si>
  <si>
    <t>Observing Location:</t>
  </si>
  <si>
    <t>TYC       xxxx-xxxxx-x</t>
  </si>
  <si>
    <t>UCAC2        xxxxxxxx</t>
  </si>
  <si>
    <t>Location:</t>
  </si>
  <si>
    <t>Observer(s):</t>
  </si>
  <si>
    <t>binoculars</t>
  </si>
  <si>
    <t>no optical aid</t>
  </si>
  <si>
    <t>other - specify below</t>
  </si>
  <si>
    <t>Predicted Time (UTC):</t>
  </si>
  <si>
    <t>Day:</t>
  </si>
  <si>
    <t>All times MUST be reported using UTC</t>
  </si>
  <si>
    <t>SCT including Cass and Mak</t>
  </si>
  <si>
    <t xml:space="preserve">  hh</t>
  </si>
  <si>
    <t xml:space="preserve">  ss</t>
  </si>
  <si>
    <t>Observation was:</t>
  </si>
  <si>
    <t>Positive</t>
  </si>
  <si>
    <t>Negative</t>
  </si>
  <si>
    <t>Directions for Use of Asteroid Occultation Reporting Form</t>
  </si>
  <si>
    <t>mouse and clicking on that cell.</t>
  </si>
  <si>
    <t>Catalog - format</t>
  </si>
  <si>
    <t>Number</t>
  </si>
  <si>
    <t>Other</t>
  </si>
  <si>
    <t>deg mm sec.ss</t>
  </si>
  <si>
    <t>deg min.mmm</t>
  </si>
  <si>
    <t>deg.ddddd</t>
  </si>
  <si>
    <t>An attempt is being made to encourage observers of asteroid occultations to report their observations in a way that is</t>
  </si>
  <si>
    <t>You may move through the form one entry after another by using the TAB key.  You may also select any cell using the</t>
  </si>
  <si>
    <t>near the bottom of the form.  Remember, Negative observations are important for defining the maximum dimensions</t>
  </si>
  <si>
    <t>to the format you chose.  You may choose to show higher precision - more decimal places - as long as the format is</t>
  </si>
  <si>
    <t>maintained.</t>
  </si>
  <si>
    <t>Then indicate if you applied the PE to your time, should that be appropriate.  Usually PE is only used for visual/voice</t>
  </si>
  <si>
    <t>If a multiple star system is occulted and you have determined separate event times for more than one component of</t>
  </si>
  <si>
    <t>Eye-Ear + time signal</t>
  </si>
  <si>
    <t xml:space="preserve"> 2nd star</t>
  </si>
  <si>
    <t>visible?</t>
  </si>
  <si>
    <t>Unsure</t>
  </si>
  <si>
    <t>maybe</t>
  </si>
  <si>
    <t>1B    xxx - xxxxxxx</t>
  </si>
  <si>
    <t>1N    xxx - xxxxxxx</t>
  </si>
  <si>
    <t>Elevation:</t>
  </si>
  <si>
    <t>&lt;---(nearest City/Town, with State/Country only)</t>
  </si>
  <si>
    <t>S/N =</t>
  </si>
  <si>
    <t>(if known)</t>
  </si>
  <si>
    <t>Was this a Miss?</t>
  </si>
  <si>
    <t>clarifying any data that you entered. Please keep each line down to about 120 characters.</t>
  </si>
  <si>
    <t>UCAC3     xxx - xxxxxx</t>
  </si>
  <si>
    <t>Model/Type:</t>
  </si>
  <si>
    <t>Format:</t>
  </si>
  <si>
    <t>NTSC/EIA</t>
  </si>
  <si>
    <t>PAL/CCIR</t>
  </si>
  <si>
    <t>Frames</t>
  </si>
  <si>
    <t>Detector:</t>
  </si>
  <si>
    <t>Process if using a video camera:</t>
  </si>
  <si>
    <t>document should also work with the spreadsheet component of Open Office as well as on Macs.</t>
  </si>
  <si>
    <t>Slow 5</t>
  </si>
  <si>
    <t>UCAC4     xxx - xxxxxx</t>
  </si>
  <si>
    <t>This new option is in test mode and subject to change if required.</t>
  </si>
  <si>
    <t>Select Yes if this report  is for the  second star of a double.</t>
  </si>
  <si>
    <t>Video</t>
  </si>
  <si>
    <t>No PE/Delay applied</t>
  </si>
  <si>
    <t>using the same base naming standard and obviously a comment to describe the contents.</t>
  </si>
  <si>
    <t>For Mac users ONLY: We understand some of the above characters are not allowed in MAC filenames</t>
  </si>
  <si>
    <t>Please use as near as you can</t>
  </si>
  <si>
    <t>Double Star events - D and or R are step events</t>
  </si>
  <si>
    <t xml:space="preserve"> the recorder to decide, it may also be appropriate to send a CSV or Graph of the light curve or a Tangra LC file</t>
  </si>
  <si>
    <t>If the catalog for the star is NOT available then put Cat and number informationin the Number cell</t>
  </si>
  <si>
    <t>Other Detector related info</t>
  </si>
  <si>
    <t>check this table</t>
  </si>
  <si>
    <t>Please always include your State/Province and Country (2 letter acronym) in this field</t>
  </si>
  <si>
    <t>For example there are towns called Richmond in at least 6 countries so please use:</t>
  </si>
  <si>
    <t>AUS Obseravtory, Richmond, NSW,AU.  or RSA Observatory, Richmond, KZN, ZA.  or   USA Observatory, Richmond, MS,US.</t>
  </si>
  <si>
    <t>On this form, GRAY cells contain information that needs to be filled in by the observer.  Some of the information in the</t>
  </si>
  <si>
    <t>Positive.  If you didn't see an occultation, change that to Negative.  Then, change the "no" to "yes" in the "Miss?" cell</t>
  </si>
  <si>
    <t>For TYC numbers, the format, including dashes, is important.  Example:  1234-56789-1</t>
  </si>
  <si>
    <t>For UCAC2 stars, 8 digits are required.  HIP stars have 4, 5 or 6 digits.</t>
  </si>
  <si>
    <t>Observer(s):  List observers.  If more than one, separate with a /.  Example:  John Doe/Jane Doe</t>
  </si>
  <si>
    <t>menu.  The format used by OCCULT is the default shown.  Then record your position so that it corresponds exactly</t>
  </si>
  <si>
    <t>numerical value for the f/ratio of the telescope/focal reducer/Barlow combination you are using.  If this is a visual</t>
  </si>
  <si>
    <t>observation, type in the numerical value for the Magnification of the eyepiece being used.  If using other than visual</t>
  </si>
  <si>
    <t>recordings.  If additional information about a time is needed, provide that in the Remarks column for that time.</t>
  </si>
  <si>
    <t>The "Miss ?" cell should be changed to "yes" if you also reported a Negative observation at the top of the form.</t>
  </si>
  <si>
    <t>The report for the second and subsequent components should have a "yes" in the "2nd Star?" cell.  Also, in the file</t>
  </si>
  <si>
    <t>name discussed below, place a 2 after your last name for a second component, a 3 after a third component, etc.</t>
  </si>
  <si>
    <t>Additional Comments can be made for any part of the observation that helps in analyzing the observations or in</t>
  </si>
  <si>
    <t>Click on the down-arrow to see the choices.  Scroll to the best fit choice and release.  Only the choices shown in each</t>
  </si>
  <si>
    <t>of an asteroid. There are also an Unsure and maybe options - please add comments if you are not sure,  to help</t>
  </si>
  <si>
    <t>Please be sure to record all times in UTC using the format shown.  For example:  00:07:30     12:12:00.567</t>
  </si>
  <si>
    <t>Observing Location:  As a check on your latitude and longitude entry, please record the name of the city, town,and State,Country abbreviation code.</t>
  </si>
  <si>
    <t xml:space="preserve">At least the town or village nearest your observing location. </t>
  </si>
  <si>
    <t>R-OTE</t>
  </si>
  <si>
    <t>Select ADVS for both the Detector: Model/Type and Format fields.  field.</t>
  </si>
  <si>
    <t>Select Seconds for the Unit Field and enter the Exposure length in the Exposure field.</t>
  </si>
  <si>
    <t xml:space="preserve">ADVS is set up so that the recorded time is the time at the centre of the sample. </t>
  </si>
  <si>
    <t xml:space="preserve">This means there is zero correction to apply at any exposure length.   </t>
  </si>
  <si>
    <t>the star system or asteroid, then you should submit a separate report for each component for which you have determined times.</t>
  </si>
  <si>
    <t>KIWI-OSD</t>
  </si>
  <si>
    <t>Timing Device:</t>
  </si>
  <si>
    <t>YELLOW cells are optional.  You may fill these in as you see fit.</t>
  </si>
  <si>
    <t xml:space="preserve">Dark GRAY cells are in the form of required numeric or Free form text data.  </t>
  </si>
  <si>
    <t>For UCAC3,  UCAC4,URAT1, NOMAD (1N) and USNO (B1) catalog stars, the dash is important.  For example:  992-191471</t>
  </si>
  <si>
    <t>Occultation Timing Application</t>
  </si>
  <si>
    <t>Units of Exposure</t>
  </si>
  <si>
    <t>Timing Device</t>
  </si>
  <si>
    <t>OTA</t>
  </si>
  <si>
    <t>Manual</t>
  </si>
  <si>
    <t>Fields</t>
  </si>
  <si>
    <t>AOTA (part of OCCULT4)</t>
  </si>
  <si>
    <t>WWV Radio Time</t>
  </si>
  <si>
    <t>Occular</t>
  </si>
  <si>
    <t>Seconds</t>
  </si>
  <si>
    <t>Beeperbox</t>
  </si>
  <si>
    <t>Other - Specify in Comments</t>
  </si>
  <si>
    <t>GPS</t>
  </si>
  <si>
    <t>Computer NTP</t>
  </si>
  <si>
    <t>IOTA-VTI</t>
  </si>
  <si>
    <t>GPS-ABC</t>
  </si>
  <si>
    <t>ADVS</t>
  </si>
  <si>
    <t>Cellphone</t>
  </si>
  <si>
    <t>Detector Model/Type</t>
  </si>
  <si>
    <t>Exposure Mode</t>
  </si>
  <si>
    <t>Video Format</t>
  </si>
  <si>
    <t>Camera Dependent!</t>
  </si>
  <si>
    <t>Visual</t>
  </si>
  <si>
    <t>Examples only shown here.</t>
  </si>
  <si>
    <t>Photometer</t>
  </si>
  <si>
    <t>CCD Drift</t>
  </si>
  <si>
    <t>PC165-DNR</t>
  </si>
  <si>
    <t>Off</t>
  </si>
  <si>
    <t>PC164C</t>
  </si>
  <si>
    <t>AAV-NTSC</t>
  </si>
  <si>
    <t>PC164C-EX</t>
  </si>
  <si>
    <t>x4</t>
  </si>
  <si>
    <t>AAV-PAL</t>
  </si>
  <si>
    <t>Watec 120N</t>
  </si>
  <si>
    <t>x8</t>
  </si>
  <si>
    <t>Watec 120N+</t>
  </si>
  <si>
    <t>Watec 910HX</t>
  </si>
  <si>
    <t>Slow 1</t>
  </si>
  <si>
    <t>Watec 910BD</t>
  </si>
  <si>
    <t>High 6</t>
  </si>
  <si>
    <t>Watec 902H</t>
  </si>
  <si>
    <t>Mintron 12v1C-EX</t>
  </si>
  <si>
    <t>Frame 2</t>
  </si>
  <si>
    <t>Mallincam</t>
  </si>
  <si>
    <t>Frame 64</t>
  </si>
  <si>
    <t>CCD</t>
  </si>
  <si>
    <t>Samsung SBC-2000</t>
  </si>
  <si>
    <t>On/4</t>
  </si>
  <si>
    <t>KPC-350BH</t>
  </si>
  <si>
    <t>LN-300-11673</t>
  </si>
  <si>
    <t>fps</t>
  </si>
  <si>
    <t>Flea 3-03S1 with ADVS</t>
  </si>
  <si>
    <t>Flea 3-03S3 with ADVS</t>
  </si>
  <si>
    <t>automatic</t>
  </si>
  <si>
    <t>Flea 3-28S4M with ADVS</t>
  </si>
  <si>
    <t>Grasshopper Express with ADVS</t>
  </si>
  <si>
    <t>Other/Not sure - Specify in Comments</t>
  </si>
  <si>
    <t>G-Star</t>
  </si>
  <si>
    <t>Table Showing Examples of what should be used in the Free Form text cells on the Data page</t>
  </si>
  <si>
    <t>WAT-120N and WAT-120N+</t>
  </si>
  <si>
    <t>120N</t>
  </si>
  <si>
    <t>120N+</t>
  </si>
  <si>
    <t>Field Delay</t>
  </si>
  <si>
    <t>Time Correction</t>
  </si>
  <si>
    <t>CCIR</t>
  </si>
  <si>
    <t>EIA</t>
  </si>
  <si>
    <t>Frame 1</t>
  </si>
  <si>
    <t>Slow 2</t>
  </si>
  <si>
    <t>Frame 4</t>
  </si>
  <si>
    <t>Slow 3</t>
  </si>
  <si>
    <t>Frame 8</t>
  </si>
  <si>
    <t>Slow 4</t>
  </si>
  <si>
    <t>Frame 16</t>
  </si>
  <si>
    <t>Frame 32</t>
  </si>
  <si>
    <t>Slow 6</t>
  </si>
  <si>
    <t>Slow 7</t>
  </si>
  <si>
    <t>Frame 128</t>
  </si>
  <si>
    <t>Slow 8</t>
  </si>
  <si>
    <t>Frame 256</t>
  </si>
  <si>
    <t>Slow 9</t>
  </si>
  <si>
    <t>WAT-910HX and 910BD</t>
  </si>
  <si>
    <t>910HX</t>
  </si>
  <si>
    <t>910BD</t>
  </si>
  <si>
    <t>2x</t>
  </si>
  <si>
    <t>4x</t>
  </si>
  <si>
    <t>8x</t>
  </si>
  <si>
    <t>16x</t>
  </si>
  <si>
    <t>32x</t>
  </si>
  <si>
    <t>64x</t>
  </si>
  <si>
    <t>128x</t>
  </si>
  <si>
    <t>256x</t>
  </si>
  <si>
    <t>PC-165DNR  (EIA)</t>
  </si>
  <si>
    <t>165DNR</t>
  </si>
  <si>
    <t>Mintron 12V1C-EX (CCIR) and 12V1C-EX (EIA)</t>
  </si>
  <si>
    <t>6x</t>
  </si>
  <si>
    <t>12x</t>
  </si>
  <si>
    <t>24x</t>
  </si>
  <si>
    <t>48x</t>
  </si>
  <si>
    <t>96x</t>
  </si>
  <si>
    <t>Red Integrations should NOT be used</t>
  </si>
  <si>
    <t>Mallincam MCH Plus Color (CCIR) and (EIA)</t>
  </si>
  <si>
    <t>Sense Up</t>
  </si>
  <si>
    <t>KIWI + Occular</t>
  </si>
  <si>
    <t>none</t>
  </si>
  <si>
    <t>KIWI + R-OTE</t>
  </si>
  <si>
    <t>IOTA-VTI + Occular</t>
  </si>
  <si>
    <t>IOTA-VTI + R-OTE</t>
  </si>
  <si>
    <t>SCB-2000N  (EIA)</t>
  </si>
  <si>
    <t>10x</t>
  </si>
  <si>
    <t>14x</t>
  </si>
  <si>
    <t>512x</t>
  </si>
  <si>
    <t>Non-Integrating Cameras - NO correction</t>
  </si>
  <si>
    <t>PC-164C-EX2</t>
  </si>
  <si>
    <t>WAT-902H2 Ultimate</t>
  </si>
  <si>
    <t>SK-1004XC</t>
  </si>
  <si>
    <t>Other - List in Comments</t>
  </si>
  <si>
    <t>Minutes</t>
  </si>
  <si>
    <t>PC-164C</t>
  </si>
  <si>
    <t>No Camera Delay Applied</t>
  </si>
  <si>
    <t>Camera Delay by AOTA applied ---&gt;</t>
  </si>
  <si>
    <t>Camera Delay  by ROTE applied ---&gt;</t>
  </si>
  <si>
    <t>Camera Delay by Occular applied ---&gt;</t>
  </si>
  <si>
    <t>Exposure</t>
  </si>
  <si>
    <t>URAT1    xxx - xxxxxxx</t>
  </si>
  <si>
    <t>No</t>
  </si>
  <si>
    <t>Email all reports, positive or negative, to:   reports@asteroidoccultation.com</t>
  </si>
  <si>
    <t>Integration:</t>
  </si>
  <si>
    <t>Email report to:  reports@asteroidoccultation.com</t>
  </si>
  <si>
    <t>RunCam Night Eagle Astro</t>
  </si>
  <si>
    <t>Night Eagle Astro Camera + R-OTE</t>
  </si>
  <si>
    <t>Night Eagle Astro Camera + Occular</t>
  </si>
  <si>
    <t>+ 0.01667</t>
  </si>
  <si>
    <t>when Y-axis correction is used</t>
  </si>
  <si>
    <t>Night Shutter -&gt;</t>
  </si>
  <si>
    <t>NS1</t>
  </si>
  <si>
    <t>sec</t>
  </si>
  <si>
    <t>Run Cam Night Eagle "Rolling Shutter" Corrections</t>
  </si>
  <si>
    <t>Camera in NTSC Mode</t>
  </si>
  <si>
    <t>Camera in PAL Mode</t>
  </si>
  <si>
    <t>Y-position at D -&gt;</t>
  </si>
  <si>
    <t>Y position at R -&gt;</t>
  </si>
  <si>
    <t>Y position at D -&gt;</t>
  </si>
  <si>
    <t>Y position at R  -&gt;</t>
  </si>
  <si>
    <t>&lt;- cells that expect user input, positive values ONLY</t>
  </si>
  <si>
    <t>NS2</t>
  </si>
  <si>
    <t>NS3</t>
  </si>
  <si>
    <t>Column1</t>
  </si>
  <si>
    <t>&lt;- Drop-down list to Document NS setting</t>
  </si>
  <si>
    <t>&lt;- cells which are calculated, use for final time determination</t>
  </si>
  <si>
    <t>Y-position range for NTSC = 0 to 479</t>
  </si>
  <si>
    <t>Y-position for PAL = 0 to 575</t>
  </si>
  <si>
    <t>↑</t>
  </si>
  <si>
    <t xml:space="preserve"> Corrected Disappearance:</t>
  </si>
  <si>
    <t>Corrected  Reappearance:</t>
  </si>
  <si>
    <t xml:space="preserve">Remarks </t>
  </si>
  <si>
    <t>Enter Confidence Level Error Bars In Boxes Below</t>
  </si>
  <si>
    <t>High</t>
  </si>
  <si>
    <t>Correction -&gt;</t>
  </si>
  <si>
    <t>CamDelay</t>
  </si>
  <si>
    <t>VTIOffset</t>
  </si>
  <si>
    <t>TotalCorr</t>
  </si>
  <si>
    <t>CorrDHr</t>
  </si>
  <si>
    <t>CorrDMin</t>
  </si>
  <si>
    <t>CorrDSec</t>
  </si>
  <si>
    <t>UnCorr</t>
  </si>
  <si>
    <t>Hr</t>
  </si>
  <si>
    <t>Min</t>
  </si>
  <si>
    <t>Sec.000</t>
  </si>
  <si>
    <t>Current Selections</t>
  </si>
  <si>
    <t>This form placed here for testing …</t>
  </si>
  <si>
    <t>Google Docs is another option if you don’t have Excel.</t>
  </si>
  <si>
    <t>Note:  Equations used in the Excel spreadsheet are valid for Excel 2007 or later version.</t>
  </si>
  <si>
    <t xml:space="preserve"> or even in some cases the AVI file if requested by the reviewing Coordinator.</t>
  </si>
  <si>
    <t>April</t>
  </si>
  <si>
    <t>May</t>
  </si>
  <si>
    <t>June</t>
  </si>
  <si>
    <t>July</t>
  </si>
  <si>
    <t>January</t>
  </si>
  <si>
    <t>February</t>
  </si>
  <si>
    <t>March</t>
  </si>
  <si>
    <t>August</t>
  </si>
  <si>
    <t>September</t>
  </si>
  <si>
    <t>October</t>
  </si>
  <si>
    <t>November</t>
  </si>
  <si>
    <t>December</t>
  </si>
  <si>
    <t>If available please include a Tangra or Limovie CSV file of the light curve data with the report.</t>
  </si>
  <si>
    <t xml:space="preserve"> (NTSC)</t>
  </si>
  <si>
    <t xml:space="preserve">Additional VTI Corrections    </t>
  </si>
  <si>
    <t xml:space="preserve"> (PAL)</t>
  </si>
  <si>
    <t>+0.0200</t>
  </si>
  <si>
    <t>OTE Used:</t>
  </si>
  <si>
    <t>1x</t>
  </si>
  <si>
    <t>Unit: Fields</t>
  </si>
  <si>
    <t>Camera</t>
  </si>
  <si>
    <t>All Other Cameras</t>
  </si>
  <si>
    <t>CCD (specify exp in comments)</t>
  </si>
  <si>
    <t>Flea (specify exp in comments)</t>
  </si>
  <si>
    <t>Grasshopper (specify exp in comments)</t>
  </si>
  <si>
    <t>x</t>
  </si>
  <si>
    <t>o</t>
  </si>
  <si>
    <t>Units are in Seconds</t>
  </si>
  <si>
    <r>
      <t xml:space="preserve">best suited to using the OCCULT program for analysis.  To that end, this Form has been created using Excel.  </t>
    </r>
    <r>
      <rPr>
        <sz val="14"/>
        <color indexed="10"/>
        <rFont val="Arial"/>
        <family val="2"/>
      </rPr>
      <t>This</t>
    </r>
  </si>
  <si>
    <t>OTE Used</t>
  </si>
  <si>
    <t>R-OTE w/ CamDelay Corrections</t>
  </si>
  <si>
    <t>R-OTE w/o CamDelay Corrections</t>
  </si>
  <si>
    <t>Video Type</t>
  </si>
  <si>
    <t>PYOTE</t>
  </si>
  <si>
    <t>VTIoffset</t>
  </si>
  <si>
    <t>The following values are computed from the above table and then transferred to the Data sheet</t>
  </si>
  <si>
    <t xml:space="preserve">The following highlighted column is used to automatically calculate the camera delay corrections needed for various cameras.  </t>
  </si>
  <si>
    <t>The header row highlights the current Camera, Video Type, VTI and OTE selected on the DATA sheet.</t>
  </si>
  <si>
    <t>The following table is used to set the proper VTIoffset and camera</t>
  </si>
  <si>
    <t>delay correction based on the OTE used</t>
  </si>
  <si>
    <t xml:space="preserve">Application of VTIoffset Corrections </t>
  </si>
  <si>
    <t xml:space="preserve">Exposure/Integration:  Select from the drop-down menu a value equivalent to one of the values for your camera type shown in the comment window.  </t>
  </si>
  <si>
    <t xml:space="preserve">Light GRAY cells are in the form of drop-down menus.  </t>
  </si>
  <si>
    <t>The Light GRAY cells have a drop-down menu.  This is done to force match the  OCCULT analysis program being used.</t>
  </si>
  <si>
    <t xml:space="preserve">When you are on a Light GRAY cell, a down arrow to the right of the cell will indicate the presence of a drop-down menu.  </t>
  </si>
  <si>
    <t>drop-down menu for that particular item are available for use.  Some choices are already present as default values.</t>
  </si>
  <si>
    <t>First, use the drop-down menu at the upper left to indicate whether or not you saw an occultation.  The default is</t>
  </si>
  <si>
    <t>Latitude and Longitude:  These may be entered in any of 3 formats.  First, choose the format by using the drop-down</t>
  </si>
  <si>
    <t>Enter Latitude:  Be sure to leave spaces as shown in the format example.  Choose N or S from the drop-down menu.</t>
  </si>
  <si>
    <t>Enter Longitude in a similar manner.  Choose E or W from the drop-down menu.</t>
  </si>
  <si>
    <t>Telescope:  Enter a numerical value for the Aperture and then choose a Unit from the drop-down menu.  Type in a</t>
  </si>
  <si>
    <t>techniques, leave this blank.  From the drop-down menu, choose the nearest Type of telescope being used.</t>
  </si>
  <si>
    <t>Camera model/type: Select from the drop-down menu the best description of your camera model/type.</t>
  </si>
  <si>
    <t>Video format:  Select from the drop-down menu the video format  (PAL/CCIR or NTSC/EIA).</t>
  </si>
  <si>
    <t>Timing Method:  Select from the drop-down menu the best description of your Method of timing.</t>
  </si>
  <si>
    <t>Only entries compatible with the camera selected will be allowed.  Incompatible entries will turn automatic camera delay corrections OFF.</t>
  </si>
  <si>
    <t>Unit:  All Exposure Integrations are assumed to be in 'Field' Units.  Frames or other units are not allowed.</t>
  </si>
  <si>
    <t>Integrating cameras:</t>
  </si>
  <si>
    <t>Enter the times derived from the OTE program in the D and R time spaces on rows  32 and 36.</t>
  </si>
  <si>
    <t>Be sure to enter the correct entry for OTE Used from the drop-down list.  If camera delay corrections have already been made by the OTE, then use the selection w/ CamDelay Corrections.</t>
  </si>
  <si>
    <t>AOTA always applies camera delay corrections to the output reports, so no camera delays are applied for AOTA derived D and R times.</t>
  </si>
  <si>
    <t>Occular and PYOTE never apply camera delay corrections.  R-OTE can provide camera delay corrections, or not, depending on if the user supplies the corrections to R-OTE.</t>
  </si>
  <si>
    <t>Asteroid Visible?:  If known, select from the drop-down box whether or not the asteroid was visible at any time during your observation.</t>
  </si>
  <si>
    <t>Conditions:  From the drop-down menus, describe your observing conditions.  You may add further details under comments.</t>
  </si>
  <si>
    <t xml:space="preserve">Observations:  </t>
  </si>
  <si>
    <t>Enter the times you started and stopped observing (or recording video) in rows 31 and 37</t>
  </si>
  <si>
    <t>If the times entered in rows 32 and 36 are flagged as 'w/o CamDelay Corrections' in OTE Used, then corrected times will automatically appear in rows 33 and 35.</t>
  </si>
  <si>
    <t xml:space="preserve">If the times entered in rows 32 and 36 are flagged as Manual, Other, AOTA, or 'w/ CamDelay Corrections' in OTE Used, then no corrections are applied </t>
  </si>
  <si>
    <t>and times will automatically appear in rows 33 and 35.</t>
  </si>
  <si>
    <t>Notice that the D and R times  in rows 33 and 35 are the only times read by OCCULT for use in determining the asteroid profile.  However,</t>
  </si>
  <si>
    <t>the 'Started Observing' and 'Stopped Observing' times may be important in the event of inaccurate predicted times and/or satellites.</t>
  </si>
  <si>
    <t xml:space="preserve">In the Accuracy column, type in a +/- estimate of the accuracy of the time given in seconds.  Example:  +/- 0.5 </t>
  </si>
  <si>
    <t xml:space="preserve">Input the +/- error bars from the OTE used in the appropriate confidence level boxes, if available.  </t>
  </si>
  <si>
    <r>
      <t xml:space="preserve">Under PE, record your Personal Equation for the event.  Example:  0.9. </t>
    </r>
    <r>
      <rPr>
        <b/>
        <sz val="14"/>
        <color indexed="10"/>
        <rFont val="Arial"/>
        <family val="2"/>
      </rPr>
      <t>This only applies to Visual observations.</t>
    </r>
  </si>
  <si>
    <r>
      <rPr>
        <b/>
        <sz val="14"/>
        <rFont val="Arial"/>
        <family val="2"/>
      </rPr>
      <t>S / N</t>
    </r>
    <r>
      <rPr>
        <sz val="14"/>
        <rFont val="Arial"/>
        <family val="2"/>
      </rPr>
      <t xml:space="preserve"> If you have information from AOTA,R-OTE, PYOTE or Occular about the Signal-to-Noise Ratio, place that in the yellow box to the right of S/N= .</t>
    </r>
  </si>
  <si>
    <t>NOTE:</t>
  </si>
  <si>
    <t xml:space="preserve">When saving the Excel report form, please use this format to name your file:  </t>
  </si>
  <si>
    <t>AOTA w/ CamDelay Corrections</t>
  </si>
  <si>
    <t>CCD Drift Scan</t>
  </si>
  <si>
    <t>Allowed Camera Types, Integration Exposure Settings, and OTE Used Settings</t>
  </si>
  <si>
    <t>Allowed Camera Settings (x = allowed setting)</t>
  </si>
  <si>
    <t>Allowed OTE Used Settings (x = allowed setting)</t>
  </si>
  <si>
    <t>DTotal+Corr</t>
  </si>
  <si>
    <t>DTime Equivalent of Tot+Corr</t>
  </si>
  <si>
    <t>RTime Equivalent of Tot+Corr</t>
  </si>
  <si>
    <t>RTotal+Corr</t>
  </si>
  <si>
    <t>DDecSec</t>
  </si>
  <si>
    <t>DDecMin</t>
  </si>
  <si>
    <t>DDecTotal</t>
  </si>
  <si>
    <t>RDecTotal</t>
  </si>
  <si>
    <t>RDecSec</t>
  </si>
  <si>
    <t>RDecMin</t>
  </si>
  <si>
    <t>RDecHr</t>
  </si>
  <si>
    <t>RunCam Night Eagle</t>
  </si>
  <si>
    <t xml:space="preserve">http://www.asteroidoccultation.com/observations/NA/   </t>
  </si>
  <si>
    <t xml:space="preserve"> (see the "Downloads" submenu box)</t>
  </si>
  <si>
    <t xml:space="preserve">Either AOTA, which is part of Occult 4, Occular, R-OTE, or PYOTE can be used.  </t>
  </si>
  <si>
    <t xml:space="preserve">Installation files for Occular and R-OTE, as well as instructions for installing PYOTE can be downloaded from: </t>
  </si>
  <si>
    <t>Use the recommended proceedure from the OTE program to block-integrate repeated video frame data points into single data points.  Timing must be derived from block-integrated data.</t>
  </si>
  <si>
    <t>Error Bars</t>
  </si>
  <si>
    <t>.</t>
  </si>
  <si>
    <t>User Input</t>
  </si>
  <si>
    <t>0.9500 CL</t>
  </si>
  <si>
    <t>Disapperance</t>
  </si>
  <si>
    <t>Reappearance</t>
  </si>
  <si>
    <t>RunCam Night Eagle (non-Astro)</t>
  </si>
  <si>
    <t>(Note: Night Eagle corrections are approximate -- rolling shutter corrections not used)</t>
  </si>
  <si>
    <t xml:space="preserve">&lt; 95% confidence level will be reported to IOTA </t>
  </si>
  <si>
    <t>&lt;== D Corrections Shown Here</t>
  </si>
  <si>
    <t>&lt;== R Corrections Shown Here</t>
  </si>
  <si>
    <t>The following cells document the calculations to convert raw times to corrected times for D and R</t>
  </si>
  <si>
    <t>These cells are used to show the selection current on the Data Sheet</t>
  </si>
  <si>
    <t>DDecHr</t>
  </si>
  <si>
    <t>Almost all the changes on the new Form involve how the times are corrected.  It could be a correction because of the VTI and analysis program being</t>
  </si>
  <si>
    <t xml:space="preserve">     used or the fact that integrations must be corrected.</t>
  </si>
  <si>
    <t>Under Method, these new procedures only apply for Video with Frame Analysis.</t>
  </si>
  <si>
    <t xml:space="preserve">The OTE is next.  This is the Occultation Timing Extraction application.  This is very important to getting all the corrections properly applied. </t>
  </si>
  <si>
    <t xml:space="preserve">     If none of applications used fits what you did, use Manual.  </t>
  </si>
  <si>
    <t>Complete the other boxes on the Form as usual.</t>
  </si>
  <si>
    <t>For future use, Save the Form from the DATA Sheet and it will open there next time.</t>
  </si>
  <si>
    <t>******  When placing Times for D and R on the Form, ONLY place your Times in the UNCORRECTED GRAY rows for D and R.</t>
  </si>
  <si>
    <t xml:space="preserve">     If the Form becomes corrupted, close it without Saving and re-open the original Form to start over.</t>
  </si>
  <si>
    <r>
      <t xml:space="preserve">Enter a numerical value for your Elevation and choose m (meters) or ft (feet) from the drop-down menu. </t>
    </r>
    <r>
      <rPr>
        <b/>
        <sz val="14"/>
        <rFont val="Arial"/>
        <family val="2"/>
      </rPr>
      <t>Elevation must be in Mean Sea Level.</t>
    </r>
  </si>
  <si>
    <r>
      <t xml:space="preserve">From the drop-down menu, choose the appropriate Datum. Note GPS and Google Earth use the </t>
    </r>
    <r>
      <rPr>
        <b/>
        <sz val="14"/>
        <rFont val="Arial"/>
        <family val="2"/>
      </rPr>
      <t>WGS84</t>
    </r>
    <r>
      <rPr>
        <sz val="14"/>
        <rFont val="Arial"/>
        <family val="2"/>
      </rPr>
      <t xml:space="preserve"> Datum (latitude and longitude), which is the default and preferred.</t>
    </r>
  </si>
  <si>
    <t xml:space="preserve"> </t>
  </si>
  <si>
    <t>HIP  xxxxxx</t>
  </si>
  <si>
    <t>QHY (specify exp in comments)</t>
  </si>
  <si>
    <t>QHY 174 GPS</t>
  </si>
  <si>
    <t>AFT or OFT Flash Tag</t>
  </si>
  <si>
    <t>[Note: If OccultWatcher prefill is used, most of the cells will be prefilled by OccultWatcher]</t>
  </si>
  <si>
    <t>Where: X = a sequential or non-sequential site number if there are multiple sites by the same observer</t>
  </si>
  <si>
    <t>Alternative formats allowed include:</t>
  </si>
  <si>
    <t>YYYYMMDD_AstNo_AstName_ObserverLastName_X_pos/neg.xls</t>
  </si>
  <si>
    <t>YYYYMMDD_AstNo_AstName_ObserverLastName(X)_pos/neg.xls</t>
  </si>
  <si>
    <t>YYYYMMDD_MPName_MPNumber_ObserverLastNameX_pos/neg.xls</t>
  </si>
  <si>
    <t>If there is only one site, X may be omitted (automatically omitted by OccultWatcher for single site observations)</t>
  </si>
  <si>
    <t>&lt;pos/neg&gt;   = a positive or negative event (Note: OccultWatcher will prefill pos or neg automatically)</t>
  </si>
  <si>
    <t>or:                  20131007_31_Euphrosyne_Timerson_pos_Ev2.xls  Example for a second double-star component</t>
  </si>
  <si>
    <t>For example:  20131003_25_Phocaea_Timerson_pos.xls     Example for a single-site positive observation</t>
  </si>
  <si>
    <t>or:                  20131007_31_Euphrosyne_Timerson_neg.xls     Example for a negative observation</t>
  </si>
  <si>
    <t>or:                  20131007_31_Euphrosyne_Timerson3_pos.xls    Example for a third site location</t>
  </si>
  <si>
    <t>We request that ALL FILES associated with an event should be named</t>
  </si>
  <si>
    <t>The following files should be provided for all report submissions when the .xls file is submitted:</t>
  </si>
  <si>
    <t xml:space="preserve">     .csv file from Limovie or Tangra</t>
  </si>
  <si>
    <t xml:space="preserve">     .png light curve graph from PYOTE, or .pdf light curve graph from ROTE, or .png light curve graph from Occular, or .png light curve graph from AOTA</t>
  </si>
  <si>
    <t xml:space="preserve">     .log file from PYOTE, or .pdf sqWave.summary.report file from ROTE, or .png report file from Occular, or .txt report file from AOTA</t>
  </si>
  <si>
    <t xml:space="preserve">     .pdf error.bar.summary.report from ROTE (if ROTE used for light curve analysis)</t>
  </si>
  <si>
    <t>Select your Camera and Video Format next.  QHY 174 GPS cameras are now supported.</t>
  </si>
  <si>
    <t>Hover over Exposure Integration to see a yellow Comments box with suggestions.  ALL NTSC/PAL camera measurements are now in FIELDS.  Frames are not an option.</t>
  </si>
  <si>
    <t xml:space="preserve">     Select the Exposure Integration from the drop-down list.  If the exposure was not in fields, use Other and explain exposure in comments.</t>
  </si>
  <si>
    <t>******  GREEN cells are protected.</t>
  </si>
  <si>
    <t>******  You cannot type ANYTHING in the GREEN cells.  These are reserved for the corrected values the Report Form finds based on your input</t>
  </si>
  <si>
    <t xml:space="preserve">of all the previous information.  If you defeat the cell protection and enter anything in the green cells, you will corrupt the worksheet and  need to start over. </t>
  </si>
  <si>
    <t xml:space="preserve">Once you understand these basics, go to the Directions tab to become fully familiar with all cell enties. </t>
  </si>
  <si>
    <t>Once familiar with the rules for entering data in the form, go to the DATA tab at the bottom to begin entering observation information.</t>
  </si>
  <si>
    <t>Report problems with the form to:  reports@asteroidoccultation.com</t>
  </si>
  <si>
    <t>OFT or AFT</t>
  </si>
  <si>
    <t>Chages from the previous form V5.5.9 include:</t>
  </si>
  <si>
    <r>
      <rPr>
        <b/>
        <sz val="12"/>
        <rFont val="Symbol"/>
        <family val="1"/>
        <charset val="2"/>
      </rPr>
      <t>·</t>
    </r>
    <r>
      <rPr>
        <b/>
        <sz val="12"/>
        <rFont val="Arial"/>
        <family val="2"/>
      </rPr>
      <t xml:space="preserve">  </t>
    </r>
    <r>
      <rPr>
        <sz val="10"/>
        <rFont val="Arial"/>
        <family val="2"/>
      </rPr>
      <t>Allows entries for QHY 174 GPS cameras</t>
    </r>
  </si>
  <si>
    <r>
      <rPr>
        <b/>
        <sz val="12"/>
        <rFont val="Symbol"/>
        <family val="1"/>
        <charset val="2"/>
      </rPr>
      <t>·</t>
    </r>
    <r>
      <rPr>
        <b/>
        <sz val="12"/>
        <rFont val="Arial"/>
        <family val="2"/>
      </rPr>
      <t xml:space="preserve">  </t>
    </r>
    <r>
      <rPr>
        <sz val="10"/>
        <rFont val="Arial"/>
        <family val="2"/>
      </rPr>
      <t>Supports entries for ADVS, AAV-NTSC or AAV-PAL video formats</t>
    </r>
  </si>
  <si>
    <r>
      <rPr>
        <b/>
        <sz val="12"/>
        <rFont val="Symbol"/>
        <family val="1"/>
        <charset val="2"/>
      </rPr>
      <t>·</t>
    </r>
    <r>
      <rPr>
        <b/>
        <sz val="12"/>
        <rFont val="Arial"/>
        <family val="2"/>
      </rPr>
      <t xml:space="preserve">  </t>
    </r>
    <r>
      <rPr>
        <sz val="10"/>
        <rFont val="Arial"/>
        <family val="2"/>
      </rPr>
      <t>Updated Directions inlcuding file naming format and list of files to be attached to reports</t>
    </r>
  </si>
  <si>
    <r>
      <rPr>
        <b/>
        <sz val="12"/>
        <rFont val="Symbol"/>
        <family val="1"/>
        <charset val="2"/>
      </rPr>
      <t>·</t>
    </r>
    <r>
      <rPr>
        <b/>
        <sz val="12"/>
        <rFont val="Arial"/>
        <family val="2"/>
      </rPr>
      <t xml:space="preserve">  </t>
    </r>
    <r>
      <rPr>
        <sz val="10"/>
        <rFont val="Arial"/>
        <family val="2"/>
      </rPr>
      <t>AFT or OFT Flash Tag timing is handled correctly in corrections.  PYOTE should be used with AFT or OFT Flash Tag.  No corrections are applied regardless of OTE Used.</t>
    </r>
  </si>
  <si>
    <t xml:space="preserve">Light GREEN cells are automatically filled in with corrected results for video analysis where camera type, video format, </t>
  </si>
  <si>
    <t>exposure/integration and OTA Used are entered.  Do not try to manually enter data in these cells, they are locked.  </t>
  </si>
  <si>
    <t>Please include a copy of the final light curve CSV and OTE (Occular, R-OTE, PYOTE, etc.) output with your report submission.</t>
  </si>
  <si>
    <t>Enter the times derived from the OTE program (or your manual analysis) in the D and R time spaces on rows  32 and 36.</t>
  </si>
  <si>
    <t>If the .csv file is submitted with your report, the IOTA R-OTE Volunteer Group will compute error bars for you and insert them in the form and resubmit the form to report Coordinator.</t>
  </si>
  <si>
    <t>The OTE program error bars for the 0.6827, 0.9500, and 0.9973 confidence levels should be entered for your D and R times.</t>
  </si>
  <si>
    <t>If your OTE program does not produce all three error bars, the report Coodinator will have these corrected for you and inserted in your report.</t>
  </si>
  <si>
    <t xml:space="preserve">This (downloadable) form should only be used if you are not using the pre-fill option of OccultWatcher.  If you use OccultWatcher, </t>
  </si>
  <si>
    <t>select "yes" when it asks if you want to fill in your report now.  Even if you don't want to complete it, replying "yes" will get you a pre-filled excel file.</t>
  </si>
  <si>
    <t>The Timing Device is the first thing to get correct.  Use the drop-down list to select the correct Video Time Inserter.  AFT and OFT Flash Tag apps are now supported.</t>
  </si>
  <si>
    <t xml:space="preserve">This ends the cells pre-filled by OccultWatcher.  </t>
  </si>
  <si>
    <t xml:space="preserve">For your D and R times note the start-of-frame time displayed by your OSD/VTI in the frame  where your event occurs.  </t>
  </si>
  <si>
    <t>For the IOTA VTI and KIWI-OSD, use the lowest time reported for both fields.  When an OTE is used, input the times from the OTE program.</t>
  </si>
  <si>
    <t>Time Too Close to 00:00:00 -- Autocorrection Equations Invalid -- Contact Coordinator to Enter Values Show to Right in Corrected Fields Manually</t>
  </si>
  <si>
    <t xml:space="preserve">The correction algorithms do not work when the D or R times are very near midnight: 00:00:0?.????   </t>
  </si>
  <si>
    <t xml:space="preserve">Where the seconds value ?.???? must to be greather than the correction value.  If this condition occurs, the following message appears: 
</t>
  </si>
  <si>
    <t>If this message appears, you must unlock the spreadsheet to enter the D or R time shown farther to the right into</t>
  </si>
  <si>
    <t>the 'Corrected Disappearance' or 'Corrected Reappearance' value fields.</t>
  </si>
  <si>
    <t>If your spreadsheet was not pre-filled by Occultwatcher, then follow the instructions below. </t>
  </si>
  <si>
    <r>
      <rPr>
        <b/>
        <sz val="14"/>
        <rFont val="Arial"/>
        <family val="2"/>
      </rPr>
      <t xml:space="preserve">Fill-in the Year, Month, Day, and Predicted Time of the event.  </t>
    </r>
    <r>
      <rPr>
        <sz val="14"/>
        <rFont val="Arial"/>
        <family val="2"/>
      </rPr>
      <t>Note that Year and Month have drop-down menus.</t>
    </r>
  </si>
  <si>
    <r>
      <rPr>
        <b/>
        <sz val="14"/>
        <rFont val="Arial"/>
        <family val="2"/>
      </rPr>
      <t xml:space="preserve">Fill-in the Asteroid Number and Name. </t>
    </r>
    <r>
      <rPr>
        <sz val="14"/>
        <rFont val="Arial"/>
        <family val="2"/>
      </rPr>
      <t xml:space="preserve"> There are separate cells for these two items.</t>
    </r>
  </si>
  <si>
    <r>
      <rPr>
        <b/>
        <sz val="14"/>
        <rFont val="Arial"/>
        <family val="2"/>
      </rPr>
      <t xml:space="preserve">Choose the Star Catalog </t>
    </r>
    <r>
      <rPr>
        <sz val="14"/>
        <rFont val="Arial"/>
        <family val="2"/>
      </rPr>
      <t>from the drop-down menu and then enter the appropriate Star Number in the cell to the right.</t>
    </r>
  </si>
  <si>
    <t>If you did pre-fill the spreadsheet with OccultWatcher, skip to line 80.</t>
  </si>
  <si>
    <t xml:space="preserve">For video observations, use the corrections documented in:  </t>
  </si>
  <si>
    <t>http://www.asteroidoccultation.com/observations/NA/Analysis%20of%20Camera%20Delay%20Corrections.pdf</t>
  </si>
  <si>
    <t>eg Stop watch, WWV Radio time, Beeper Box, GPS, PC, NTP, KIWI-OSD, IOTA-VTI, GPS-ABC, ADVS, AFT/OFT Flash App, Cell Phone.</t>
  </si>
  <si>
    <r>
      <t xml:space="preserve">See http://www.dangl.at/ausruest/vid_tim/vid_tim1.htm for a detailed discussion of time correction issues.  </t>
    </r>
    <r>
      <rPr>
        <sz val="14"/>
        <color indexed="12"/>
        <rFont val="Arial"/>
        <family val="2"/>
      </rPr>
      <t>Dangle recommended corrections should only be used for visual observations.</t>
    </r>
  </si>
  <si>
    <t xml:space="preserve">After analysis of the video with Limovie or Tangra, if you can, make use of one of the Occultation Timing Extraction programs (OTEs)  </t>
  </si>
  <si>
    <t xml:space="preserve">A member of the IOTA data analysis group will review your data, process it with an OTE program, and update your results.  </t>
  </si>
  <si>
    <t>You will be informed of the final D and R times.</t>
  </si>
  <si>
    <t xml:space="preserve">If you can't use one of the OTE programs, make your best estimates of D and R, enter "manual".  </t>
  </si>
  <si>
    <t xml:space="preserve">Then send your data to the Report Coordinator, along with a link to your CSV or video file, and request that your data be analyzed by OTE.  </t>
  </si>
  <si>
    <t>Important Reminders and Tips for the New Report Form (Revised 12-12-2018)</t>
  </si>
  <si>
    <t>Asteroid visible before/during occ?</t>
  </si>
  <si>
    <t>Use the Miss? cells as needed.  The default  is "no".</t>
  </si>
  <si>
    <t>The remaining cells require manual input by the observer for spreadsheets pre-filled by OccultWatcher.</t>
  </si>
  <si>
    <t>Files requested for Report Submission:</t>
  </si>
  <si>
    <t>You may also be able to do manual interpolation in some cases - in that case please show your work in CSV file.</t>
  </si>
  <si>
    <t>Non-Inegrating cameras:</t>
  </si>
  <si>
    <t>Non-integrating NTSC or PAL cameras record two independent fields with each frame exposure.  As a result the Exposure/Integration setting is always 1x.</t>
  </si>
  <si>
    <t>For small magnitude-drop events of 0.5 mag drop or less, the 'star+asteroid' image never disappears, it just drops in brightness.  In this case, where the 'star+asteroid'</t>
  </si>
  <si>
    <t xml:space="preserve">image never disappears, select that the asteroid was visible.  In other events, the asteroid may be seen approaching the target star prior to the event.  In this case, </t>
  </si>
  <si>
    <t>also select that the asteroid was visible.  For events where the 'star+asteroid' image totally disappears during the event, select that the asteroid was not visible.</t>
  </si>
  <si>
    <t>Lucky Star or RIO-TNO Prediction ?</t>
  </si>
  <si>
    <t>FITS Images</t>
  </si>
  <si>
    <t>PYOTE, Occular and R-OTE Integrated Camera Correction Tables</t>
  </si>
  <si>
    <t>G-coords hhmmss.s?ddmmss</t>
  </si>
  <si>
    <t>ASTRID</t>
  </si>
  <si>
    <t>V5.6.12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</si>
</sst>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164" formatCode="0.0"/>
    <numFmt numFmtId="165" formatCode="00"/>
    <numFmt numFmtId="166" formatCode="0#.###"/>
    <numFmt numFmtId="167" formatCode="0.000"/>
    <numFmt numFmtId="168" formatCode="#0.###"/>
    <numFmt numFmtId="169" formatCode="0.0000"/>
    <numFmt numFmtId="170" formatCode="hh:mm:ss.000"/>
    <numFmt numFmtId="171" formatCode="0.0000000000000"/>
    <numFmt numFmtId="172" formatCode="0.0000000000E+00"/>
    <numFmt numFmtId="173" formatCode="0.000000000000000"/>
    <numFmt numFmtId="174" formatCode="0.0%"/>
  </numFmts>
  <fonts count="7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6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4"/>
      <color indexed="12"/>
      <name val="Arial"/>
      <family val="2"/>
    </font>
    <font>
      <u/>
      <sz val="14"/>
      <color indexed="12"/>
      <name val="Arial"/>
      <family val="2"/>
    </font>
    <font>
      <b/>
      <sz val="10"/>
      <color indexed="10"/>
      <name val="Arial"/>
      <family val="2"/>
    </font>
    <font>
      <sz val="14"/>
      <color indexed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4"/>
      <color indexed="8"/>
      <name val="Arial"/>
      <family val="2"/>
    </font>
    <font>
      <sz val="12"/>
      <name val="Times New Roman"/>
      <family val="1"/>
    </font>
    <font>
      <u/>
      <sz val="14"/>
      <name val="Arial"/>
      <family val="2"/>
    </font>
    <font>
      <sz val="14"/>
      <color indexed="12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color indexed="81"/>
      <name val="Calibri"/>
      <family val="2"/>
    </font>
    <font>
      <u/>
      <sz val="9"/>
      <color indexed="81"/>
      <name val="Calibri"/>
      <family val="2"/>
    </font>
    <font>
      <sz val="9"/>
      <color indexed="10"/>
      <name val="Calibri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sz val="14"/>
      <color indexed="8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Arial"/>
    </font>
    <font>
      <sz val="11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7.5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b/>
      <sz val="12"/>
      <color indexed="17"/>
      <name val="Arial"/>
      <family val="2"/>
    </font>
    <font>
      <sz val="12"/>
      <color indexed="12"/>
      <name val="Arial"/>
      <family val="2"/>
    </font>
    <font>
      <sz val="9"/>
      <color indexed="81"/>
      <name val="Tahoma"/>
      <charset val="1"/>
    </font>
    <font>
      <b/>
      <sz val="12"/>
      <name val="Symbol"/>
      <family val="1"/>
      <charset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b/>
      <i/>
      <sz val="14"/>
      <color rgb="FF7030A0"/>
      <name val="Arial"/>
      <family val="2"/>
    </font>
    <font>
      <sz val="14"/>
      <color rgb="FF7030A0"/>
      <name val="Arial"/>
      <family val="2"/>
    </font>
    <font>
      <b/>
      <sz val="16"/>
      <color rgb="FF7030A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39"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1" applyFont="1" applyAlignment="1" applyProtection="1"/>
    <xf numFmtId="0" fontId="14" fillId="0" borderId="0" xfId="1" applyFont="1" applyAlignment="1" applyProtection="1"/>
    <xf numFmtId="0" fontId="20" fillId="0" borderId="0" xfId="1" applyFont="1" applyAlignment="1" applyProtection="1"/>
    <xf numFmtId="0" fontId="2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left" indent="12"/>
    </xf>
    <xf numFmtId="0" fontId="12" fillId="0" borderId="0" xfId="0" applyFont="1"/>
    <xf numFmtId="0" fontId="13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/>
    <xf numFmtId="0" fontId="22" fillId="0" borderId="0" xfId="1" applyFont="1" applyAlignment="1" applyProtection="1"/>
    <xf numFmtId="0" fontId="12" fillId="0" borderId="0" xfId="1" applyFont="1" applyAlignment="1" applyProtection="1"/>
    <xf numFmtId="0" fontId="23" fillId="0" borderId="0" xfId="1" applyFont="1" applyAlignment="1" applyProtection="1"/>
    <xf numFmtId="0" fontId="2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2" borderId="0" xfId="0" applyFill="1"/>
    <xf numFmtId="0" fontId="20" fillId="0" borderId="0" xfId="1" applyFont="1" applyAlignment="1" applyProtection="1">
      <alignment horizontal="left"/>
    </xf>
    <xf numFmtId="0" fontId="14" fillId="0" borderId="0" xfId="1" applyFont="1" applyAlignment="1" applyProtection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5" fillId="0" borderId="0" xfId="1" applyFont="1" applyAlignment="1" applyProtection="1">
      <alignment horizontal="left"/>
    </xf>
    <xf numFmtId="0" fontId="18" fillId="0" borderId="0" xfId="1" applyFont="1" applyAlignment="1" applyProtection="1">
      <alignment horizontal="left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 indent="3"/>
    </xf>
    <xf numFmtId="0" fontId="0" fillId="0" borderId="0" xfId="0" applyAlignment="1">
      <alignment horizontal="left" vertical="center" indent="2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9" fontId="27" fillId="0" borderId="0" xfId="0" applyNumberFormat="1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9" fontId="0" fillId="0" borderId="7" xfId="0" applyNumberFormat="1" applyBorder="1" applyAlignment="1">
      <alignment horizontal="center" vertical="center"/>
    </xf>
    <xf numFmtId="169" fontId="0" fillId="0" borderId="8" xfId="0" applyNumberFormat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0" fillId="3" borderId="0" xfId="0" applyFill="1"/>
    <xf numFmtId="169" fontId="27" fillId="3" borderId="0" xfId="0" applyNumberFormat="1" applyFont="1" applyFill="1" applyAlignment="1">
      <alignment horizontal="center" vertical="center"/>
    </xf>
    <xf numFmtId="169" fontId="27" fillId="3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/>
    <xf numFmtId="0" fontId="27" fillId="3" borderId="4" xfId="0" applyFont="1" applyFill="1" applyBorder="1" applyAlignment="1">
      <alignment horizontal="center" vertical="center"/>
    </xf>
    <xf numFmtId="0" fontId="27" fillId="3" borderId="0" xfId="0" applyFont="1" applyFill="1"/>
    <xf numFmtId="0" fontId="0" fillId="0" borderId="4" xfId="0" applyBorder="1"/>
    <xf numFmtId="0" fontId="0" fillId="5" borderId="0" xfId="0" applyFill="1"/>
    <xf numFmtId="0" fontId="0" fillId="5" borderId="0" xfId="0" applyFill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0" fontId="0" fillId="5" borderId="7" xfId="0" applyFill="1" applyBorder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6" borderId="0" xfId="0" applyFill="1"/>
    <xf numFmtId="169" fontId="0" fillId="2" borderId="9" xfId="0" applyNumberFormat="1" applyFill="1" applyBorder="1" applyAlignment="1">
      <alignment horizontal="center" vertical="center"/>
    </xf>
    <xf numFmtId="0" fontId="0" fillId="4" borderId="0" xfId="0" applyFill="1"/>
    <xf numFmtId="167" fontId="0" fillId="0" borderId="0" xfId="0" applyNumberFormat="1" applyAlignment="1">
      <alignment horizontal="center" vertical="center"/>
    </xf>
    <xf numFmtId="0" fontId="32" fillId="0" borderId="0" xfId="0" applyFont="1"/>
    <xf numFmtId="49" fontId="0" fillId="5" borderId="9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>
      <alignment horizontal="right" vertical="center" indent="1"/>
    </xf>
    <xf numFmtId="0" fontId="0" fillId="5" borderId="0" xfId="0" applyFill="1" applyAlignment="1">
      <alignment horizontal="right" vertical="center" indent="1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169" fontId="0" fillId="0" borderId="0" xfId="0" applyNumberFormat="1" applyAlignment="1">
      <alignment horizontal="righ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6" fillId="5" borderId="4" xfId="0" applyFont="1" applyFill="1" applyBorder="1" applyAlignment="1">
      <alignment horizontal="right" vertical="center" indent="1"/>
    </xf>
    <xf numFmtId="0" fontId="2" fillId="5" borderId="0" xfId="0" applyFont="1" applyFill="1"/>
    <xf numFmtId="0" fontId="6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0" fillId="0" borderId="9" xfId="0" applyBorder="1"/>
    <xf numFmtId="0" fontId="0" fillId="6" borderId="0" xfId="0" applyFill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7" borderId="0" xfId="0" applyFont="1" applyFill="1" applyAlignment="1" applyProtection="1">
      <alignment horizontal="left" vertical="center"/>
      <protection locked="0"/>
    </xf>
    <xf numFmtId="0" fontId="12" fillId="8" borderId="0" xfId="0" applyFont="1" applyFill="1" applyAlignment="1" applyProtection="1">
      <alignment horizontal="left" vertical="center"/>
      <protection locked="0"/>
    </xf>
    <xf numFmtId="165" fontId="37" fillId="8" borderId="11" xfId="0" applyNumberFormat="1" applyFont="1" applyFill="1" applyBorder="1" applyAlignment="1">
      <alignment horizontal="right" vertical="center"/>
    </xf>
    <xf numFmtId="165" fontId="37" fillId="8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0" fillId="6" borderId="9" xfId="0" applyFill="1" applyBorder="1"/>
    <xf numFmtId="49" fontId="0" fillId="6" borderId="9" xfId="0" applyNumberFormat="1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1" fillId="6" borderId="9" xfId="0" applyFont="1" applyFill="1" applyBorder="1" applyAlignment="1">
      <alignment horizontal="left" vertical="center"/>
    </xf>
    <xf numFmtId="169" fontId="0" fillId="6" borderId="9" xfId="0" applyNumberFormat="1" applyFill="1" applyBorder="1" applyAlignment="1">
      <alignment horizontal="left" vertical="center"/>
    </xf>
    <xf numFmtId="49" fontId="1" fillId="6" borderId="9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49" fontId="4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169" fontId="0" fillId="0" borderId="13" xfId="0" applyNumberFormat="1" applyBorder="1"/>
    <xf numFmtId="49" fontId="1" fillId="0" borderId="4" xfId="0" applyNumberFormat="1" applyFon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1" fillId="0" borderId="0" xfId="0" applyFont="1"/>
    <xf numFmtId="169" fontId="0" fillId="0" borderId="9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49" fontId="1" fillId="0" borderId="14" xfId="0" applyNumberFormat="1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165" fontId="41" fillId="0" borderId="11" xfId="0" applyNumberFormat="1" applyFont="1" applyBorder="1" applyAlignment="1">
      <alignment horizontal="left" vertical="center"/>
    </xf>
    <xf numFmtId="0" fontId="1" fillId="0" borderId="6" xfId="0" applyFont="1" applyBorder="1"/>
    <xf numFmtId="0" fontId="0" fillId="0" borderId="15" xfId="0" applyBorder="1"/>
    <xf numFmtId="49" fontId="0" fillId="0" borderId="9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6" borderId="9" xfId="0" applyFon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6" borderId="0" xfId="0" applyFill="1" applyAlignment="1">
      <alignment horizontal="left" vertical="center" indent="1"/>
    </xf>
    <xf numFmtId="166" fontId="37" fillId="8" borderId="11" xfId="0" applyNumberFormat="1" applyFont="1" applyFill="1" applyBorder="1" applyAlignment="1">
      <alignment vertical="center"/>
    </xf>
    <xf numFmtId="166" fontId="41" fillId="0" borderId="0" xfId="0" applyNumberFormat="1" applyFont="1" applyAlignment="1">
      <alignment horizontal="left" vertical="center"/>
    </xf>
    <xf numFmtId="0" fontId="35" fillId="0" borderId="0" xfId="0" applyFont="1"/>
    <xf numFmtId="0" fontId="41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70" fontId="1" fillId="0" borderId="0" xfId="0" applyNumberFormat="1" applyFont="1" applyAlignment="1">
      <alignment horizontal="center"/>
    </xf>
    <xf numFmtId="170" fontId="1" fillId="0" borderId="0" xfId="0" applyNumberFormat="1" applyFont="1" applyAlignment="1">
      <alignment horizontal="right"/>
    </xf>
    <xf numFmtId="0" fontId="6" fillId="9" borderId="9" xfId="0" applyFont="1" applyFill="1" applyBorder="1" applyAlignment="1">
      <alignment wrapText="1"/>
    </xf>
    <xf numFmtId="0" fontId="0" fillId="9" borderId="9" xfId="0" applyFill="1" applyBorder="1" applyAlignment="1">
      <alignment wrapText="1"/>
    </xf>
    <xf numFmtId="0" fontId="6" fillId="0" borderId="9" xfId="0" applyFont="1" applyBorder="1"/>
    <xf numFmtId="0" fontId="0" fillId="9" borderId="9" xfId="0" applyFill="1" applyBorder="1"/>
    <xf numFmtId="172" fontId="0" fillId="0" borderId="0" xfId="0" applyNumberFormat="1"/>
    <xf numFmtId="169" fontId="0" fillId="0" borderId="0" xfId="0" applyNumberFormat="1"/>
    <xf numFmtId="0" fontId="0" fillId="0" borderId="0" xfId="0" applyAlignment="1">
      <alignment vertical="center"/>
    </xf>
    <xf numFmtId="169" fontId="0" fillId="0" borderId="0" xfId="0" applyNumberFormat="1" applyAlignment="1">
      <alignment horizontal="left" vertical="center"/>
    </xf>
    <xf numFmtId="0" fontId="6" fillId="0" borderId="0" xfId="0" applyFont="1" applyAlignment="1">
      <alignment vertical="center"/>
    </xf>
    <xf numFmtId="170" fontId="6" fillId="9" borderId="9" xfId="0" applyNumberFormat="1" applyFont="1" applyFill="1" applyBorder="1"/>
    <xf numFmtId="0" fontId="6" fillId="9" borderId="9" xfId="0" applyFont="1" applyFill="1" applyBorder="1"/>
    <xf numFmtId="173" fontId="0" fillId="9" borderId="9" xfId="0" applyNumberFormat="1" applyFill="1" applyBorder="1"/>
    <xf numFmtId="171" fontId="0" fillId="0" borderId="0" xfId="0" applyNumberFormat="1"/>
    <xf numFmtId="1" fontId="0" fillId="9" borderId="9" xfId="0" applyNumberFormat="1" applyFill="1" applyBorder="1"/>
    <xf numFmtId="167" fontId="0" fillId="9" borderId="9" xfId="0" applyNumberFormat="1" applyFill="1" applyBorder="1"/>
    <xf numFmtId="0" fontId="0" fillId="3" borderId="9" xfId="0" applyFill="1" applyBorder="1"/>
    <xf numFmtId="167" fontId="0" fillId="3" borderId="9" xfId="0" applyNumberFormat="1" applyFill="1" applyBorder="1"/>
    <xf numFmtId="0" fontId="0" fillId="10" borderId="9" xfId="0" applyFill="1" applyBorder="1"/>
    <xf numFmtId="0" fontId="6" fillId="10" borderId="9" xfId="0" applyFont="1" applyFill="1" applyBorder="1"/>
    <xf numFmtId="0" fontId="6" fillId="3" borderId="12" xfId="0" applyFont="1" applyFill="1" applyBorder="1"/>
    <xf numFmtId="0" fontId="6" fillId="3" borderId="9" xfId="0" applyFont="1" applyFill="1" applyBorder="1" applyAlignment="1">
      <alignment horizontal="right"/>
    </xf>
    <xf numFmtId="0" fontId="6" fillId="10" borderId="9" xfId="0" applyFont="1" applyFill="1" applyBorder="1" applyAlignment="1">
      <alignment horizontal="right"/>
    </xf>
    <xf numFmtId="173" fontId="0" fillId="11" borderId="9" xfId="0" applyNumberFormat="1" applyFill="1" applyBorder="1"/>
    <xf numFmtId="0" fontId="6" fillId="11" borderId="9" xfId="0" applyFont="1" applyFill="1" applyBorder="1"/>
    <xf numFmtId="170" fontId="6" fillId="11" borderId="9" xfId="0" applyNumberFormat="1" applyFont="1" applyFill="1" applyBorder="1"/>
    <xf numFmtId="168" fontId="35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3" fillId="0" borderId="9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left" vertical="center"/>
    </xf>
    <xf numFmtId="169" fontId="0" fillId="0" borderId="9" xfId="0" applyNumberFormat="1" applyBorder="1"/>
    <xf numFmtId="0" fontId="6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69" fontId="0" fillId="0" borderId="10" xfId="0" applyNumberFormat="1" applyBorder="1"/>
    <xf numFmtId="169" fontId="0" fillId="0" borderId="12" xfId="0" applyNumberFormat="1" applyBorder="1"/>
    <xf numFmtId="169" fontId="1" fillId="0" borderId="0" xfId="0" applyNumberFormat="1" applyFont="1"/>
    <xf numFmtId="0" fontId="1" fillId="0" borderId="4" xfId="0" applyFont="1" applyBorder="1"/>
    <xf numFmtId="169" fontId="1" fillId="0" borderId="4" xfId="0" applyNumberFormat="1" applyFont="1" applyBorder="1"/>
    <xf numFmtId="169" fontId="0" fillId="0" borderId="4" xfId="0" applyNumberFormat="1" applyBorder="1"/>
    <xf numFmtId="0" fontId="42" fillId="0" borderId="0" xfId="0" applyFont="1"/>
    <xf numFmtId="0" fontId="19" fillId="0" borderId="0" xfId="1" applyFont="1" applyAlignment="1" applyProtection="1">
      <alignment horizontal="left"/>
    </xf>
    <xf numFmtId="0" fontId="45" fillId="0" borderId="0" xfId="0" applyFont="1" applyAlignment="1">
      <alignment horizontal="left" vertical="center"/>
    </xf>
    <xf numFmtId="0" fontId="45" fillId="0" borderId="0" xfId="1" applyFont="1" applyAlignment="1" applyProtection="1"/>
    <xf numFmtId="0" fontId="1" fillId="0" borderId="9" xfId="0" applyFont="1" applyBorder="1" applyAlignment="1">
      <alignment vertical="center"/>
    </xf>
    <xf numFmtId="0" fontId="1" fillId="9" borderId="9" xfId="0" applyFont="1" applyFill="1" applyBorder="1"/>
    <xf numFmtId="0" fontId="1" fillId="9" borderId="9" xfId="0" applyFont="1" applyFill="1" applyBorder="1" applyAlignment="1">
      <alignment wrapText="1"/>
    </xf>
    <xf numFmtId="0" fontId="1" fillId="11" borderId="9" xfId="0" applyFont="1" applyFill="1" applyBorder="1" applyAlignment="1">
      <alignment wrapText="1"/>
    </xf>
    <xf numFmtId="0" fontId="1" fillId="11" borderId="9" xfId="0" applyFont="1" applyFill="1" applyBorder="1"/>
    <xf numFmtId="167" fontId="1" fillId="9" borderId="9" xfId="0" applyNumberFormat="1" applyFont="1" applyFill="1" applyBorder="1"/>
    <xf numFmtId="167" fontId="1" fillId="11" borderId="9" xfId="0" applyNumberFormat="1" applyFont="1" applyFill="1" applyBorder="1"/>
    <xf numFmtId="0" fontId="14" fillId="0" borderId="0" xfId="0" applyFont="1" applyAlignment="1">
      <alignment horizontal="left" vertical="center"/>
    </xf>
    <xf numFmtId="0" fontId="0" fillId="4" borderId="9" xfId="0" applyFill="1" applyBorder="1"/>
    <xf numFmtId="0" fontId="0" fillId="12" borderId="9" xfId="0" applyFill="1" applyBorder="1"/>
    <xf numFmtId="0" fontId="56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 indent="1"/>
    </xf>
    <xf numFmtId="49" fontId="54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0" fillId="0" borderId="0" xfId="0" applyFont="1"/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165" fontId="54" fillId="13" borderId="0" xfId="0" applyNumberFormat="1" applyFont="1" applyFill="1" applyAlignment="1" applyProtection="1">
      <alignment horizontal="right" vertical="center"/>
      <protection locked="0"/>
    </xf>
    <xf numFmtId="0" fontId="54" fillId="0" borderId="0" xfId="0" applyFont="1" applyAlignment="1">
      <alignment horizontal="left" vertical="center" indent="1"/>
    </xf>
    <xf numFmtId="165" fontId="54" fillId="13" borderId="0" xfId="0" applyNumberFormat="1" applyFont="1" applyFill="1" applyAlignment="1" applyProtection="1">
      <alignment horizontal="center" vertical="center"/>
      <protection locked="0"/>
    </xf>
    <xf numFmtId="49" fontId="58" fillId="0" borderId="0" xfId="0" applyNumberFormat="1" applyFont="1" applyAlignment="1">
      <alignment horizontal="center" vertical="center"/>
    </xf>
    <xf numFmtId="165" fontId="54" fillId="13" borderId="0" xfId="0" applyNumberFormat="1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 vertical="center" wrapText="1"/>
    </xf>
    <xf numFmtId="49" fontId="57" fillId="0" borderId="0" xfId="0" applyNumberFormat="1" applyFont="1" applyAlignment="1">
      <alignment horizontal="right" vertical="center"/>
    </xf>
    <xf numFmtId="49" fontId="54" fillId="0" borderId="0" xfId="0" applyNumberFormat="1" applyFont="1" applyAlignment="1">
      <alignment horizontal="right" vertical="center"/>
    </xf>
    <xf numFmtId="49" fontId="53" fillId="3" borderId="0" xfId="0" applyNumberFormat="1" applyFont="1" applyFill="1" applyAlignment="1" applyProtection="1">
      <alignment horizontal="center" vertical="center"/>
      <protection locked="0"/>
    </xf>
    <xf numFmtId="49" fontId="50" fillId="0" borderId="0" xfId="0" applyNumberFormat="1" applyFont="1" applyAlignment="1">
      <alignment horizontal="left" vertical="center" indent="1"/>
    </xf>
    <xf numFmtId="0" fontId="60" fillId="0" borderId="0" xfId="0" applyFont="1" applyAlignment="1">
      <alignment vertical="center"/>
    </xf>
    <xf numFmtId="0" fontId="60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54" fillId="0" borderId="0" xfId="0" applyFont="1" applyAlignment="1">
      <alignment horizontal="right" vertical="center"/>
    </xf>
    <xf numFmtId="0" fontId="54" fillId="3" borderId="0" xfId="0" applyFont="1" applyFill="1" applyAlignment="1" applyProtection="1">
      <alignment horizontal="center" vertical="center"/>
      <protection locked="0"/>
    </xf>
    <xf numFmtId="0" fontId="50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1" fontId="50" fillId="13" borderId="5" xfId="0" applyNumberFormat="1" applyFont="1" applyFill="1" applyBorder="1" applyAlignment="1" applyProtection="1">
      <alignment horizontal="center" vertical="center"/>
      <protection locked="0"/>
    </xf>
    <xf numFmtId="164" fontId="54" fillId="0" borderId="0" xfId="0" applyNumberFormat="1" applyFont="1" applyAlignment="1">
      <alignment horizontal="center" vertical="center"/>
    </xf>
    <xf numFmtId="164" fontId="50" fillId="13" borderId="0" xfId="0" applyNumberFormat="1" applyFont="1" applyFill="1" applyAlignment="1" applyProtection="1">
      <alignment horizontal="center" vertical="center"/>
      <protection locked="0"/>
    </xf>
    <xf numFmtId="0" fontId="54" fillId="0" borderId="0" xfId="0" applyFont="1"/>
    <xf numFmtId="0" fontId="55" fillId="0" borderId="0" xfId="0" applyFont="1" applyAlignment="1">
      <alignment horizontal="center"/>
    </xf>
    <xf numFmtId="0" fontId="51" fillId="0" borderId="0" xfId="0" applyFont="1"/>
    <xf numFmtId="0" fontId="64" fillId="0" borderId="0" xfId="0" applyFont="1"/>
    <xf numFmtId="0" fontId="50" fillId="0" borderId="0" xfId="0" applyFont="1" applyAlignment="1">
      <alignment horizontal="right"/>
    </xf>
    <xf numFmtId="0" fontId="65" fillId="0" borderId="0" xfId="0" applyFont="1"/>
    <xf numFmtId="0" fontId="50" fillId="0" borderId="0" xfId="0" applyFont="1" applyAlignment="1">
      <alignment horizontal="left"/>
    </xf>
    <xf numFmtId="49" fontId="50" fillId="4" borderId="0" xfId="0" applyNumberFormat="1" applyFont="1" applyFill="1" applyAlignment="1" applyProtection="1">
      <alignment vertical="center"/>
      <protection locked="0"/>
    </xf>
    <xf numFmtId="169" fontId="50" fillId="0" borderId="0" xfId="0" applyNumberFormat="1" applyFont="1"/>
    <xf numFmtId="169" fontId="56" fillId="0" borderId="0" xfId="0" applyNumberFormat="1" applyFont="1" applyAlignment="1">
      <alignment horizontal="right"/>
    </xf>
    <xf numFmtId="0" fontId="66" fillId="0" borderId="0" xfId="0" applyFont="1" applyAlignment="1">
      <alignment horizontal="left" vertical="center"/>
    </xf>
    <xf numFmtId="0" fontId="67" fillId="0" borderId="0" xfId="0" applyFont="1" applyAlignment="1">
      <alignment horizontal="center" vertical="center"/>
    </xf>
    <xf numFmtId="49" fontId="55" fillId="0" borderId="0" xfId="0" applyNumberFormat="1" applyFont="1" applyAlignment="1">
      <alignment vertical="center"/>
    </xf>
    <xf numFmtId="0" fontId="68" fillId="0" borderId="0" xfId="0" applyFont="1" applyAlignment="1">
      <alignment vertical="center"/>
    </xf>
    <xf numFmtId="0" fontId="55" fillId="0" borderId="0" xfId="0" applyFont="1"/>
    <xf numFmtId="49" fontId="50" fillId="0" borderId="7" xfId="0" applyNumberFormat="1" applyFont="1" applyBorder="1" applyAlignment="1">
      <alignment vertical="center"/>
    </xf>
    <xf numFmtId="165" fontId="50" fillId="13" borderId="17" xfId="0" applyNumberFormat="1" applyFont="1" applyFill="1" applyBorder="1" applyAlignment="1" applyProtection="1">
      <alignment horizontal="right" vertical="center"/>
      <protection locked="0"/>
    </xf>
    <xf numFmtId="165" fontId="50" fillId="13" borderId="17" xfId="0" applyNumberFormat="1" applyFont="1" applyFill="1" applyBorder="1" applyAlignment="1" applyProtection="1">
      <alignment horizontal="center" vertical="center"/>
      <protection locked="0"/>
    </xf>
    <xf numFmtId="165" fontId="50" fillId="13" borderId="11" xfId="0" applyNumberFormat="1" applyFont="1" applyFill="1" applyBorder="1" applyAlignment="1" applyProtection="1">
      <alignment horizontal="right" vertical="center"/>
      <protection locked="0"/>
    </xf>
    <xf numFmtId="165" fontId="50" fillId="13" borderId="11" xfId="0" applyNumberFormat="1" applyFont="1" applyFill="1" applyBorder="1" applyAlignment="1" applyProtection="1">
      <alignment horizontal="center" vertical="center"/>
      <protection locked="0"/>
    </xf>
    <xf numFmtId="165" fontId="50" fillId="8" borderId="11" xfId="0" applyNumberFormat="1" applyFont="1" applyFill="1" applyBorder="1" applyAlignment="1">
      <alignment horizontal="right" vertical="center"/>
    </xf>
    <xf numFmtId="165" fontId="50" fillId="8" borderId="11" xfId="0" applyNumberFormat="1" applyFont="1" applyFill="1" applyBorder="1" applyAlignment="1">
      <alignment horizontal="center" vertical="center"/>
    </xf>
    <xf numFmtId="168" fontId="50" fillId="13" borderId="18" xfId="0" applyNumberFormat="1" applyFont="1" applyFill="1" applyBorder="1" applyAlignment="1" applyProtection="1">
      <alignment horizontal="center" vertical="center"/>
      <protection locked="0"/>
    </xf>
    <xf numFmtId="168" fontId="50" fillId="13" borderId="19" xfId="0" applyNumberFormat="1" applyFont="1" applyFill="1" applyBorder="1" applyAlignment="1" applyProtection="1">
      <alignment horizontal="center" vertical="center"/>
      <protection locked="0"/>
    </xf>
    <xf numFmtId="165" fontId="55" fillId="0" borderId="0" xfId="0" applyNumberFormat="1" applyFont="1" applyAlignment="1">
      <alignment horizontal="left" vertical="center"/>
    </xf>
    <xf numFmtId="0" fontId="55" fillId="0" borderId="0" xfId="0" applyFont="1" applyAlignment="1">
      <alignment horizontal="left"/>
    </xf>
    <xf numFmtId="168" fontId="50" fillId="7" borderId="20" xfId="0" applyNumberFormat="1" applyFont="1" applyFill="1" applyBorder="1" applyAlignment="1" applyProtection="1">
      <alignment horizontal="center" vertical="center"/>
      <protection locked="0"/>
    </xf>
    <xf numFmtId="168" fontId="50" fillId="7" borderId="21" xfId="0" applyNumberFormat="1" applyFont="1" applyFill="1" applyBorder="1" applyAlignment="1" applyProtection="1">
      <alignment horizontal="center" vertical="center"/>
      <protection locked="0"/>
    </xf>
    <xf numFmtId="49" fontId="54" fillId="0" borderId="16" xfId="0" applyNumberFormat="1" applyFont="1" applyBorder="1" applyAlignment="1">
      <alignment horizontal="center" vertical="center"/>
    </xf>
    <xf numFmtId="0" fontId="56" fillId="0" borderId="0" xfId="0" applyFont="1" applyAlignment="1">
      <alignment horizontal="right" vertical="center"/>
    </xf>
    <xf numFmtId="49" fontId="56" fillId="0" borderId="0" xfId="0" applyNumberFormat="1" applyFont="1" applyAlignment="1">
      <alignment horizontal="center" vertical="center"/>
    </xf>
    <xf numFmtId="174" fontId="56" fillId="7" borderId="22" xfId="0" applyNumberFormat="1" applyFont="1" applyFill="1" applyBorder="1" applyAlignment="1">
      <alignment horizontal="center" vertical="center"/>
    </xf>
    <xf numFmtId="174" fontId="56" fillId="13" borderId="23" xfId="0" applyNumberFormat="1" applyFont="1" applyFill="1" applyBorder="1" applyAlignment="1">
      <alignment horizontal="center" vertical="center"/>
    </xf>
    <xf numFmtId="174" fontId="56" fillId="7" borderId="24" xfId="0" applyNumberFormat="1" applyFont="1" applyFill="1" applyBorder="1" applyAlignment="1">
      <alignment horizontal="center" vertical="center"/>
    </xf>
    <xf numFmtId="0" fontId="60" fillId="0" borderId="0" xfId="0" applyFont="1"/>
    <xf numFmtId="49" fontId="50" fillId="0" borderId="0" xfId="0" applyNumberFormat="1" applyFont="1" applyAlignment="1">
      <alignment horizontal="center" vertical="center"/>
    </xf>
    <xf numFmtId="49" fontId="54" fillId="0" borderId="0" xfId="0" applyNumberFormat="1" applyFont="1" applyAlignment="1">
      <alignment vertical="center"/>
    </xf>
    <xf numFmtId="0" fontId="53" fillId="3" borderId="0" xfId="0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left" vertical="center"/>
    </xf>
    <xf numFmtId="0" fontId="70" fillId="0" borderId="0" xfId="0" applyFont="1"/>
    <xf numFmtId="44" fontId="55" fillId="0" borderId="0" xfId="0" applyNumberFormat="1" applyFont="1" applyAlignment="1">
      <alignment horizontal="left"/>
    </xf>
    <xf numFmtId="169" fontId="50" fillId="0" borderId="0" xfId="0" applyNumberFormat="1" applyFont="1" applyAlignment="1">
      <alignment horizontal="left"/>
    </xf>
    <xf numFmtId="0" fontId="61" fillId="0" borderId="0" xfId="0" applyFont="1"/>
    <xf numFmtId="1" fontId="50" fillId="0" borderId="0" xfId="0" applyNumberFormat="1" applyFont="1" applyProtection="1">
      <protection locked="0"/>
    </xf>
    <xf numFmtId="49" fontId="1" fillId="0" borderId="0" xfId="0" applyNumberFormat="1" applyFont="1" applyAlignment="1">
      <alignment horizontal="left" vertical="center"/>
    </xf>
    <xf numFmtId="0" fontId="0" fillId="0" borderId="6" xfId="0" applyBorder="1" applyAlignment="1">
      <alignment vertical="center"/>
    </xf>
    <xf numFmtId="0" fontId="13" fillId="0" borderId="0" xfId="0" applyFont="1"/>
    <xf numFmtId="0" fontId="73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" fillId="14" borderId="0" xfId="0" applyFont="1" applyFill="1" applyAlignment="1">
      <alignment horizontal="left" vertical="center"/>
    </xf>
    <xf numFmtId="0" fontId="0" fillId="14" borderId="0" xfId="0" applyFill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74" fillId="0" borderId="0" xfId="0" applyFont="1" applyAlignment="1">
      <alignment horizontal="left" vertical="center"/>
    </xf>
    <xf numFmtId="0" fontId="75" fillId="0" borderId="0" xfId="0" applyFont="1"/>
    <xf numFmtId="0" fontId="76" fillId="0" borderId="0" xfId="0" applyFont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33" fillId="0" borderId="0" xfId="1" applyFont="1" applyAlignment="1" applyProtection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 indent="1"/>
    </xf>
    <xf numFmtId="0" fontId="50" fillId="0" borderId="0" xfId="0" applyFont="1" applyAlignment="1">
      <alignment horizontal="left" vertical="center" indent="1"/>
    </xf>
    <xf numFmtId="0" fontId="50" fillId="0" borderId="0" xfId="0" applyFont="1" applyAlignment="1">
      <alignment horizontal="center" vertical="center"/>
    </xf>
    <xf numFmtId="0" fontId="50" fillId="0" borderId="0" xfId="0" applyFont="1"/>
    <xf numFmtId="0" fontId="5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4" fillId="3" borderId="0" xfId="0" applyFont="1" applyFill="1" applyAlignment="1" applyProtection="1">
      <alignment horizontal="left" vertical="center" indent="1"/>
      <protection locked="0"/>
    </xf>
    <xf numFmtId="0" fontId="26" fillId="3" borderId="25" xfId="0" applyFont="1" applyFill="1" applyBorder="1" applyAlignment="1" applyProtection="1">
      <alignment horizontal="center"/>
      <protection locked="0"/>
    </xf>
    <xf numFmtId="0" fontId="54" fillId="3" borderId="25" xfId="0" applyFont="1" applyFill="1" applyBorder="1" applyAlignment="1" applyProtection="1">
      <alignment horizontal="center"/>
      <protection locked="0"/>
    </xf>
    <xf numFmtId="0" fontId="63" fillId="3" borderId="26" xfId="0" applyFont="1" applyFill="1" applyBorder="1" applyAlignment="1" applyProtection="1">
      <alignment horizontal="left" vertical="center" indent="1"/>
      <protection locked="0"/>
    </xf>
    <xf numFmtId="0" fontId="54" fillId="3" borderId="26" xfId="0" applyFont="1" applyFill="1" applyBorder="1" applyAlignment="1" applyProtection="1">
      <alignment horizontal="left" vertical="center" indent="1"/>
      <protection locked="0"/>
    </xf>
    <xf numFmtId="0" fontId="50" fillId="7" borderId="9" xfId="0" applyFont="1" applyFill="1" applyBorder="1" applyAlignment="1" applyProtection="1">
      <alignment horizontal="left"/>
      <protection locked="0"/>
    </xf>
    <xf numFmtId="0" fontId="56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2" fillId="0" borderId="0" xfId="0" applyFont="1" applyAlignment="1">
      <alignment horizontal="right"/>
    </xf>
    <xf numFmtId="0" fontId="54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169" fontId="51" fillId="0" borderId="0" xfId="0" applyNumberFormat="1" applyFont="1" applyAlignment="1">
      <alignment horizontal="right"/>
    </xf>
    <xf numFmtId="0" fontId="54" fillId="0" borderId="0" xfId="0" applyFont="1" applyAlignment="1">
      <alignment horizontal="center" vertical="top"/>
    </xf>
    <xf numFmtId="0" fontId="61" fillId="13" borderId="0" xfId="0" applyFont="1" applyFill="1" applyProtection="1">
      <protection locked="0"/>
    </xf>
    <xf numFmtId="0" fontId="54" fillId="13" borderId="10" xfId="0" applyFont="1" applyFill="1" applyBorder="1" applyAlignment="1" applyProtection="1">
      <alignment horizontal="center" vertical="center"/>
      <protection locked="0"/>
    </xf>
    <xf numFmtId="0" fontId="50" fillId="0" borderId="0" xfId="0" applyFont="1" applyAlignment="1">
      <alignment vertical="center"/>
    </xf>
    <xf numFmtId="0" fontId="53" fillId="0" borderId="0" xfId="0" applyFont="1" applyAlignment="1">
      <alignment horizontal="right" vertical="center"/>
    </xf>
    <xf numFmtId="0" fontId="50" fillId="0" borderId="0" xfId="0" applyFont="1" applyAlignment="1">
      <alignment horizontal="right" vertical="center"/>
    </xf>
    <xf numFmtId="170" fontId="50" fillId="0" borderId="13" xfId="0" applyNumberFormat="1" applyFont="1" applyBorder="1" applyAlignment="1">
      <alignment horizontal="left"/>
    </xf>
    <xf numFmtId="167" fontId="50" fillId="13" borderId="11" xfId="0" applyNumberFormat="1" applyFont="1" applyFill="1" applyBorder="1" applyAlignment="1" applyProtection="1">
      <alignment horizontal="left" vertical="center"/>
      <protection locked="0"/>
    </xf>
    <xf numFmtId="49" fontId="56" fillId="0" borderId="12" xfId="0" applyNumberFormat="1" applyFont="1" applyBorder="1" applyAlignment="1">
      <alignment horizontal="center" vertical="center"/>
    </xf>
    <xf numFmtId="49" fontId="56" fillId="0" borderId="13" xfId="0" applyNumberFormat="1" applyFont="1" applyBorder="1" applyAlignment="1">
      <alignment horizontal="center" vertical="center"/>
    </xf>
    <xf numFmtId="49" fontId="56" fillId="0" borderId="27" xfId="0" applyNumberFormat="1" applyFont="1" applyBorder="1" applyAlignment="1">
      <alignment horizontal="center" vertical="center"/>
    </xf>
    <xf numFmtId="49" fontId="56" fillId="0" borderId="0" xfId="0" applyNumberFormat="1" applyFont="1" applyAlignment="1">
      <alignment horizontal="center" vertical="center" wrapText="1"/>
    </xf>
    <xf numFmtId="49" fontId="56" fillId="0" borderId="17" xfId="0" applyNumberFormat="1" applyFont="1" applyBorder="1" applyAlignment="1">
      <alignment horizontal="center" vertical="center" wrapText="1"/>
    </xf>
    <xf numFmtId="164" fontId="50" fillId="13" borderId="0" xfId="0" applyNumberFormat="1" applyFont="1" applyFill="1" applyAlignment="1" applyProtection="1">
      <alignment horizontal="center" vertical="center"/>
      <protection locked="0"/>
    </xf>
    <xf numFmtId="167" fontId="50" fillId="8" borderId="11" xfId="0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50" fillId="13" borderId="0" xfId="0" applyFont="1" applyFill="1" applyAlignment="1" applyProtection="1">
      <alignment horizontal="center" vertical="center"/>
      <protection locked="0"/>
    </xf>
    <xf numFmtId="0" fontId="1" fillId="7" borderId="9" xfId="0" applyFont="1" applyFill="1" applyBorder="1" applyAlignment="1" applyProtection="1">
      <alignment horizontal="left"/>
      <protection locked="0"/>
    </xf>
    <xf numFmtId="166" fontId="50" fillId="13" borderId="11" xfId="0" applyNumberFormat="1" applyFont="1" applyFill="1" applyBorder="1" applyAlignment="1" applyProtection="1">
      <alignment horizontal="left" vertical="center"/>
      <protection locked="0"/>
    </xf>
    <xf numFmtId="0" fontId="54" fillId="3" borderId="0" xfId="0" applyFont="1" applyFill="1" applyAlignment="1" applyProtection="1">
      <alignment horizontal="left" vertical="center"/>
      <protection locked="0"/>
    </xf>
    <xf numFmtId="49" fontId="50" fillId="0" borderId="0" xfId="0" applyNumberFormat="1" applyFont="1" applyAlignment="1">
      <alignment horizontal="left" vertical="center" indent="1"/>
    </xf>
    <xf numFmtId="49" fontId="26" fillId="3" borderId="0" xfId="0" applyNumberFormat="1" applyFont="1" applyFill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4" fillId="13" borderId="0" xfId="0" applyFont="1" applyFill="1" applyAlignment="1" applyProtection="1">
      <alignment horizontal="left" vertical="center" indent="1"/>
      <protection locked="0"/>
    </xf>
    <xf numFmtId="0" fontId="1" fillId="0" borderId="0" xfId="0" applyFont="1" applyAlignment="1">
      <alignment horizontal="right" vertical="center"/>
    </xf>
    <xf numFmtId="0" fontId="57" fillId="13" borderId="0" xfId="0" applyFont="1" applyFill="1" applyAlignment="1" applyProtection="1">
      <alignment horizontal="left" vertical="center" indent="1"/>
      <protection locked="0"/>
    </xf>
    <xf numFmtId="0" fontId="52" fillId="0" borderId="0" xfId="0" applyFont="1" applyAlignment="1">
      <alignment horizontal="right" vertical="center"/>
    </xf>
    <xf numFmtId="0" fontId="57" fillId="0" borderId="0" xfId="0" applyFont="1" applyAlignment="1">
      <alignment vertical="center"/>
    </xf>
    <xf numFmtId="0" fontId="60" fillId="0" borderId="0" xfId="0" applyFont="1" applyAlignment="1">
      <alignment horizontal="right" vertical="center"/>
    </xf>
    <xf numFmtId="0" fontId="56" fillId="3" borderId="0" xfId="0" applyFont="1" applyFill="1" applyAlignment="1" applyProtection="1">
      <alignment horizontal="center" vertical="center"/>
      <protection locked="0"/>
    </xf>
    <xf numFmtId="0" fontId="50" fillId="7" borderId="0" xfId="0" applyFont="1" applyFill="1" applyAlignment="1" applyProtection="1">
      <alignment horizontal="left" vertical="center" indent="1"/>
      <protection locked="0"/>
    </xf>
    <xf numFmtId="0" fontId="62" fillId="0" borderId="0" xfId="0" applyFont="1" applyAlignment="1">
      <alignment horizontal="left" vertical="center" indent="1"/>
    </xf>
    <xf numFmtId="0" fontId="54" fillId="3" borderId="28" xfId="0" applyFont="1" applyFill="1" applyBorder="1" applyAlignment="1" applyProtection="1">
      <alignment horizontal="left" vertical="center"/>
      <protection locked="0"/>
    </xf>
    <xf numFmtId="0" fontId="54" fillId="3" borderId="0" xfId="0" applyFont="1" applyFill="1" applyAlignment="1" applyProtection="1">
      <alignment horizontal="center" vertical="center"/>
      <protection locked="0"/>
    </xf>
    <xf numFmtId="49" fontId="52" fillId="0" borderId="0" xfId="0" applyNumberFormat="1" applyFont="1" applyAlignment="1">
      <alignment horizontal="right" vertical="center"/>
    </xf>
    <xf numFmtId="0" fontId="5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9" fillId="13" borderId="0" xfId="1" applyFont="1" applyFill="1" applyAlignment="1" applyProtection="1">
      <alignment horizontal="left" vertical="center" indent="1"/>
      <protection locked="0"/>
    </xf>
    <xf numFmtId="167" fontId="54" fillId="13" borderId="0" xfId="0" applyNumberFormat="1" applyFont="1" applyFill="1" applyAlignment="1" applyProtection="1">
      <alignment horizontal="left" vertical="center" indent="1"/>
      <protection locked="0"/>
    </xf>
    <xf numFmtId="0" fontId="50" fillId="0" borderId="0" xfId="0" applyFont="1" applyAlignment="1">
      <alignment horizontal="center"/>
    </xf>
    <xf numFmtId="170" fontId="50" fillId="0" borderId="13" xfId="0" applyNumberFormat="1" applyFont="1" applyBorder="1" applyAlignment="1">
      <alignment horizont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2" fillId="3" borderId="0" xfId="0" applyFont="1" applyFill="1" applyAlignment="1" applyProtection="1">
      <alignment horizontal="center" vertical="center"/>
      <protection locked="0"/>
    </xf>
    <xf numFmtId="0" fontId="50" fillId="3" borderId="0" xfId="0" applyFont="1" applyFill="1" applyAlignment="1" applyProtection="1">
      <alignment horizontal="center" vertical="center"/>
      <protection locked="0"/>
    </xf>
    <xf numFmtId="49" fontId="55" fillId="0" borderId="0" xfId="0" applyNumberFormat="1" applyFont="1" applyAlignment="1">
      <alignment horizontal="center" vertical="center"/>
    </xf>
    <xf numFmtId="0" fontId="56" fillId="0" borderId="0" xfId="0" applyFont="1" applyAlignment="1">
      <alignment horizontal="center"/>
    </xf>
    <xf numFmtId="1" fontId="57" fillId="13" borderId="0" xfId="0" applyNumberFormat="1" applyFont="1" applyFill="1" applyAlignment="1" applyProtection="1">
      <alignment horizontal="left" vertical="center" indent="1"/>
      <protection locked="0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horizontal="right" vertical="center"/>
    </xf>
    <xf numFmtId="1" fontId="57" fillId="3" borderId="0" xfId="0" applyNumberFormat="1" applyFont="1" applyFill="1" applyAlignment="1" applyProtection="1">
      <alignment horizontal="left" vertical="center" indent="1"/>
      <protection locked="0"/>
    </xf>
    <xf numFmtId="49" fontId="54" fillId="3" borderId="0" xfId="0" applyNumberFormat="1" applyFont="1" applyFill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54" fillId="3" borderId="29" xfId="0" applyFont="1" applyFill="1" applyBorder="1" applyAlignment="1" applyProtection="1">
      <alignment horizontal="center" vertical="center"/>
      <protection locked="0"/>
    </xf>
    <xf numFmtId="0" fontId="58" fillId="0" borderId="0" xfId="0" applyFont="1" applyAlignment="1">
      <alignment horizontal="center" vertical="center"/>
    </xf>
    <xf numFmtId="49" fontId="53" fillId="3" borderId="0" xfId="0" applyNumberFormat="1" applyFont="1" applyFill="1" applyAlignment="1" applyProtection="1">
      <alignment horizontal="center" vertical="center"/>
      <protection locked="0"/>
    </xf>
    <xf numFmtId="49" fontId="54" fillId="7" borderId="0" xfId="0" applyNumberFormat="1" applyFont="1" applyFill="1" applyAlignment="1" applyProtection="1">
      <alignment horizontal="left" vertical="top"/>
      <protection locked="0"/>
    </xf>
    <xf numFmtId="0" fontId="62" fillId="3" borderId="0" xfId="0" applyFont="1" applyFill="1" applyAlignment="1" applyProtection="1">
      <alignment vertical="center"/>
      <protection locked="0"/>
    </xf>
    <xf numFmtId="170" fontId="50" fillId="0" borderId="0" xfId="0" applyNumberFormat="1" applyFont="1" applyAlignment="1">
      <alignment horizontal="left"/>
    </xf>
    <xf numFmtId="166" fontId="50" fillId="13" borderId="17" xfId="0" applyNumberFormat="1" applyFont="1" applyFill="1" applyBorder="1" applyAlignment="1" applyProtection="1">
      <alignment horizontal="left" vertical="center"/>
      <protection locked="0"/>
    </xf>
    <xf numFmtId="49" fontId="54" fillId="0" borderId="0" xfId="0" applyNumberFormat="1" applyFont="1" applyAlignment="1">
      <alignment horizontal="center" vertical="center"/>
    </xf>
    <xf numFmtId="0" fontId="56" fillId="0" borderId="0" xfId="0" applyFont="1" applyAlignment="1">
      <alignment horizontal="center" wrapText="1"/>
    </xf>
    <xf numFmtId="0" fontId="56" fillId="0" borderId="17" xfId="0" applyFont="1" applyBorder="1" applyAlignment="1">
      <alignment horizontal="center" wrapText="1"/>
    </xf>
    <xf numFmtId="0" fontId="0" fillId="0" borderId="0" xfId="0" applyAlignment="1">
      <alignment horizontal="left" vertical="center" indent="3"/>
    </xf>
    <xf numFmtId="0" fontId="16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indent="3"/>
    </xf>
    <xf numFmtId="0" fontId="1" fillId="3" borderId="3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" fillId="3" borderId="3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5" xfId="0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3" borderId="0" xfId="0" applyFill="1"/>
    <xf numFmtId="0" fontId="3" fillId="3" borderId="4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0" fillId="6" borderId="0" xfId="0" applyFill="1" applyAlignment="1">
      <alignment horizontal="left" vertical="center" indent="1"/>
    </xf>
    <xf numFmtId="0" fontId="0" fillId="0" borderId="0" xfId="0"/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4" fillId="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70" fontId="1" fillId="0" borderId="13" xfId="0" applyNumberFormat="1" applyFont="1" applyBorder="1" applyAlignment="1">
      <alignment horizontal="left"/>
    </xf>
    <xf numFmtId="170" fontId="1" fillId="0" borderId="0" xfId="0" applyNumberFormat="1" applyFont="1" applyAlignment="1">
      <alignment horizontal="left"/>
    </xf>
    <xf numFmtId="0" fontId="6" fillId="6" borderId="12" xfId="0" applyFont="1" applyFill="1" applyBorder="1" applyAlignment="1">
      <alignment horizontal="left" vertical="center"/>
    </xf>
    <xf numFmtId="0" fontId="6" fillId="6" borderId="13" xfId="0" applyFont="1" applyFill="1" applyBorder="1" applyAlignment="1">
      <alignment horizontal="left" vertical="center"/>
    </xf>
    <xf numFmtId="0" fontId="6" fillId="6" borderId="27" xfId="0" applyFont="1" applyFill="1" applyBorder="1" applyAlignment="1">
      <alignment horizontal="left" vertical="center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6" borderId="4" xfId="0" applyFill="1" applyBorder="1" applyAlignment="1">
      <alignment horizontal="left" vertical="center" indent="1"/>
    </xf>
    <xf numFmtId="0" fontId="1" fillId="6" borderId="12" xfId="0" applyFont="1" applyFill="1" applyBorder="1" applyAlignment="1">
      <alignment horizontal="left" vertical="center"/>
    </xf>
    <xf numFmtId="0" fontId="1" fillId="6" borderId="13" xfId="0" applyFont="1" applyFill="1" applyBorder="1" applyAlignment="1">
      <alignment horizontal="left" vertical="center"/>
    </xf>
    <xf numFmtId="0" fontId="1" fillId="6" borderId="27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12" borderId="4" xfId="0" applyFont="1" applyFill="1" applyBorder="1"/>
    <xf numFmtId="0" fontId="6" fillId="12" borderId="0" xfId="0" applyFont="1" applyFill="1"/>
  </cellXfs>
  <cellStyles count="2">
    <cellStyle name="Hyperlink" xfId="1" builtinId="8"/>
    <cellStyle name="Normal" xfId="0" builtinId="0"/>
  </cellStyles>
  <dxfs count="1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fgColor theme="0"/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fgColor theme="0"/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00B050"/>
      </font>
    </dxf>
    <dxf>
      <font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tro/RepLoaders/20150426_55576_Amycus_4UCAC_284-157688-/20150426_55576_Amycus_4UCAC_284-157688-Han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ions"/>
      <sheetName val="DATA"/>
      <sheetName val="TABLES"/>
    </sheetNames>
    <sheetDataSet>
      <sheetData sheetId="0" refreshError="1"/>
      <sheetData sheetId="1" refreshError="1"/>
      <sheetData sheetId="2">
        <row r="36">
          <cell r="D36" t="str">
            <v>yes</v>
          </cell>
        </row>
        <row r="37">
          <cell r="D37" t="str">
            <v>no</v>
          </cell>
        </row>
        <row r="38">
          <cell r="D38" t="str">
            <v>maybe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" displayName="List1" ref="L30:L33" totalsRowShown="0" headerRowDxfId="17">
  <autoFilter ref="L30:L33" xr:uid="{00000000-0009-0000-0100-000001000000}"/>
  <tableColumns count="1">
    <tableColumn id="1" xr3:uid="{00000000-0010-0000-0000-000001000000}" name="Column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ngl.at/ausruest/vid_tim/vid_tim1.htm" TargetMode="External"/><Relationship Id="rId2" Type="http://schemas.openxmlformats.org/officeDocument/2006/relationships/hyperlink" Target="http://www.asteroidoccultation.com/observations/NA/" TargetMode="External"/><Relationship Id="rId1" Type="http://schemas.openxmlformats.org/officeDocument/2006/relationships/hyperlink" Target="http://www.asteroidoccultation.com/observations/NA/Analysis%20of%20Camera%20Delay%20Corrections.pdf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2:N31"/>
  <sheetViews>
    <sheetView workbookViewId="0">
      <selection activeCell="A2" sqref="A2:K2"/>
    </sheetView>
  </sheetViews>
  <sheetFormatPr defaultRowHeight="12.75" x14ac:dyDescent="0.2"/>
  <sheetData>
    <row r="2" spans="1:14" ht="20.100000000000001" customHeight="1" x14ac:dyDescent="0.2">
      <c r="A2" s="287" t="s">
        <v>562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14" ht="20.100000000000001" customHeight="1" x14ac:dyDescent="0.2">
      <c r="A3" s="108" t="s">
        <v>525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4" ht="20.100000000000001" customHeight="1" x14ac:dyDescent="0.2">
      <c r="A4" s="29"/>
      <c r="B4" s="274" t="s">
        <v>528</v>
      </c>
      <c r="C4" s="44"/>
      <c r="D4" s="44"/>
      <c r="E4" s="44"/>
      <c r="F4" s="44"/>
      <c r="G4" s="44"/>
      <c r="H4" s="44"/>
      <c r="I4" s="44"/>
      <c r="J4" s="44"/>
      <c r="K4" s="44"/>
    </row>
    <row r="5" spans="1:14" ht="20.100000000000001" customHeight="1" x14ac:dyDescent="0.2">
      <c r="A5" s="29"/>
      <c r="B5" s="274" t="s">
        <v>526</v>
      </c>
      <c r="C5" s="44"/>
      <c r="D5" s="44"/>
      <c r="E5" s="44"/>
      <c r="F5" s="44"/>
      <c r="G5" s="44"/>
      <c r="H5" s="44"/>
      <c r="I5" s="44"/>
      <c r="J5" s="44"/>
      <c r="K5" s="44"/>
    </row>
    <row r="6" spans="1:14" ht="20.100000000000001" customHeight="1" x14ac:dyDescent="0.2">
      <c r="A6" s="29"/>
      <c r="B6" s="274" t="s">
        <v>527</v>
      </c>
      <c r="C6" s="44"/>
      <c r="D6" s="44"/>
      <c r="E6" s="44"/>
      <c r="F6" s="44"/>
      <c r="G6" s="44"/>
      <c r="H6" s="44"/>
      <c r="I6" s="44"/>
      <c r="J6" s="44"/>
      <c r="K6" s="44"/>
    </row>
    <row r="7" spans="1:14" ht="20.100000000000001" customHeight="1" x14ac:dyDescent="0.2">
      <c r="A7" s="29"/>
      <c r="B7" s="274" t="s">
        <v>529</v>
      </c>
      <c r="C7" s="44"/>
      <c r="D7" s="44"/>
      <c r="E7" s="44"/>
      <c r="F7" s="44"/>
      <c r="G7" s="44"/>
      <c r="H7" s="44"/>
      <c r="I7" s="44"/>
      <c r="J7" s="44"/>
      <c r="K7" s="44"/>
    </row>
    <row r="8" spans="1:14" ht="20.100000000000001" customHeight="1" x14ac:dyDescent="0.2">
      <c r="A8" s="29"/>
      <c r="B8" s="274"/>
      <c r="C8" s="44"/>
      <c r="D8" s="44"/>
      <c r="E8" s="44"/>
      <c r="F8" s="44"/>
      <c r="G8" s="44"/>
      <c r="H8" s="44"/>
      <c r="I8" s="44"/>
      <c r="J8" s="44"/>
      <c r="K8" s="44"/>
    </row>
    <row r="9" spans="1:14" ht="20.100000000000001" customHeight="1" x14ac:dyDescent="0.2">
      <c r="A9" s="108" t="s">
        <v>537</v>
      </c>
      <c r="B9" s="274"/>
      <c r="C9" s="44"/>
      <c r="D9" s="44"/>
      <c r="E9" s="44"/>
      <c r="F9" s="44"/>
      <c r="G9" s="44"/>
      <c r="H9" s="44"/>
      <c r="I9" s="44"/>
      <c r="J9" s="44"/>
      <c r="K9" s="44"/>
    </row>
    <row r="10" spans="1:14" ht="20.100000000000001" customHeight="1" x14ac:dyDescent="0.2">
      <c r="A10" s="108" t="s">
        <v>538</v>
      </c>
      <c r="B10" s="274"/>
      <c r="C10" s="44"/>
      <c r="D10" s="44"/>
      <c r="E10" s="44"/>
      <c r="F10" s="44"/>
      <c r="G10" s="44"/>
      <c r="H10" s="44"/>
      <c r="I10" s="44"/>
      <c r="J10" s="44"/>
      <c r="K10" s="44"/>
    </row>
    <row r="11" spans="1:14" ht="20.100000000000001" customHeight="1" x14ac:dyDescent="0.2">
      <c r="A11" s="29"/>
      <c r="B11" s="274"/>
      <c r="C11" s="44"/>
      <c r="D11" s="44"/>
      <c r="E11" s="44"/>
      <c r="F11" s="44"/>
      <c r="G11" s="44"/>
      <c r="H11" s="44"/>
      <c r="I11" s="44"/>
      <c r="J11" s="44"/>
      <c r="K11" s="44"/>
    </row>
    <row r="12" spans="1:14" ht="20.100000000000001" customHeight="1" x14ac:dyDescent="0.2">
      <c r="A12" s="285" t="s">
        <v>481</v>
      </c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</row>
    <row r="13" spans="1:14" ht="20.100000000000001" customHeight="1" x14ac:dyDescent="0.2">
      <c r="A13" s="285" t="s">
        <v>482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</row>
    <row r="14" spans="1:14" ht="20.100000000000001" customHeight="1" x14ac:dyDescent="0.2">
      <c r="A14" s="275" t="s">
        <v>539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 ht="20.100000000000001" customHeight="1" x14ac:dyDescent="0.2">
      <c r="A15" s="285" t="s">
        <v>483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</row>
    <row r="16" spans="1:14" ht="20.100000000000001" customHeight="1" x14ac:dyDescent="0.2">
      <c r="A16" s="285" t="s">
        <v>484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</row>
    <row r="17" spans="1:14" ht="20.100000000000001" customHeight="1" x14ac:dyDescent="0.2">
      <c r="A17" s="285" t="s">
        <v>485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</row>
    <row r="18" spans="1:14" ht="20.100000000000001" customHeight="1" x14ac:dyDescent="0.2">
      <c r="A18" s="286" t="s">
        <v>515</v>
      </c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</row>
    <row r="19" spans="1:14" ht="20.100000000000001" customHeight="1" x14ac:dyDescent="0.2">
      <c r="A19" s="275" t="s">
        <v>516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</row>
    <row r="20" spans="1:14" ht="20.100000000000001" customHeight="1" x14ac:dyDescent="0.2">
      <c r="A20" s="286" t="s">
        <v>517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</row>
    <row r="21" spans="1:14" x14ac:dyDescent="0.2">
      <c r="A21" s="285" t="s">
        <v>486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</row>
    <row r="22" spans="1:14" x14ac:dyDescent="0.2">
      <c r="A22" s="285" t="s">
        <v>488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</row>
    <row r="23" spans="1:14" x14ac:dyDescent="0.2">
      <c r="A23" s="277" t="s">
        <v>518</v>
      </c>
      <c r="B23" s="278"/>
      <c r="C23" s="278"/>
      <c r="D23" s="278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">
      <c r="A24" s="286" t="s">
        <v>519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</row>
    <row r="25" spans="1:14" x14ac:dyDescent="0.2">
      <c r="A25" s="286" t="s">
        <v>520</v>
      </c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</row>
    <row r="26" spans="1:14" x14ac:dyDescent="0.2">
      <c r="A26" s="285" t="s">
        <v>489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</row>
    <row r="27" spans="1:14" x14ac:dyDescent="0.2">
      <c r="A27" s="286" t="s">
        <v>521</v>
      </c>
      <c r="B27" s="285"/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</row>
    <row r="28" spans="1:14" x14ac:dyDescent="0.2">
      <c r="A28" s="108" t="s">
        <v>522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x14ac:dyDescent="0.2">
      <c r="A29" s="285" t="s">
        <v>487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</row>
    <row r="31" spans="1:14" x14ac:dyDescent="0.2">
      <c r="A31" s="119" t="s">
        <v>523</v>
      </c>
    </row>
  </sheetData>
  <sheetProtection sheet="1" objects="1" scenarios="1"/>
  <mergeCells count="15">
    <mergeCell ref="A20:N20"/>
    <mergeCell ref="A21:N21"/>
    <mergeCell ref="A22:N22"/>
    <mergeCell ref="A29:N29"/>
    <mergeCell ref="A24:N24"/>
    <mergeCell ref="A25:N25"/>
    <mergeCell ref="A26:N26"/>
    <mergeCell ref="A27:N27"/>
    <mergeCell ref="A17:N17"/>
    <mergeCell ref="A18:N18"/>
    <mergeCell ref="A2:K2"/>
    <mergeCell ref="A12:N12"/>
    <mergeCell ref="A13:N13"/>
    <mergeCell ref="A15:N15"/>
    <mergeCell ref="A16:N16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60"/>
  </sheetPr>
  <dimension ref="A1:W205"/>
  <sheetViews>
    <sheetView showFormulas="1" showGridLines="0" zoomScale="75" workbookViewId="0">
      <selection activeCell="B10" sqref="B10"/>
    </sheetView>
  </sheetViews>
  <sheetFormatPr defaultRowHeight="12.75" x14ac:dyDescent="0.2"/>
  <cols>
    <col min="1" max="1" width="115.42578125" customWidth="1"/>
  </cols>
  <sheetData>
    <row r="1" spans="1:16" ht="30" customHeight="1" x14ac:dyDescent="0.2">
      <c r="A1" s="35" t="s">
        <v>112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6"/>
      <c r="N1" s="36"/>
      <c r="O1" s="36"/>
      <c r="P1" s="36"/>
    </row>
    <row r="2" spans="1:16" ht="20.100000000000001" customHeight="1" x14ac:dyDescent="0.2">
      <c r="A2" s="283" t="s">
        <v>497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20.100000000000001" customHeight="1" x14ac:dyDescent="0.2">
      <c r="A3" s="28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0.100000000000001" customHeight="1" x14ac:dyDescent="0.2">
      <c r="A4" s="7" t="s">
        <v>120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20.100000000000001" customHeight="1" x14ac:dyDescent="0.2">
      <c r="A5" s="7" t="s">
        <v>396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20.100000000000001" customHeight="1" x14ac:dyDescent="0.2">
      <c r="A6" s="167" t="s">
        <v>148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0.100000000000001" customHeight="1" x14ac:dyDescent="0.2">
      <c r="A7" s="167" t="s">
        <v>365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20.100000000000001" customHeight="1" x14ac:dyDescent="0.2">
      <c r="A8" s="99" t="s">
        <v>366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20.100000000000001" customHeight="1" x14ac:dyDescent="0.2">
      <c r="A9" s="7" t="s">
        <v>166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20.100000000000001" customHeight="1" x14ac:dyDescent="0.2">
      <c r="A10" s="40" t="s">
        <v>410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7"/>
      <c r="M10" s="7"/>
      <c r="N10" s="7"/>
      <c r="O10" s="7"/>
      <c r="P10" s="7"/>
    </row>
    <row r="11" spans="1:16" ht="20.100000000000001" customHeight="1" x14ac:dyDescent="0.2">
      <c r="A11" s="41" t="s">
        <v>193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7"/>
      <c r="M11" s="7"/>
      <c r="N11" s="7"/>
      <c r="O11" s="7"/>
      <c r="P11" s="7"/>
    </row>
    <row r="12" spans="1:16" ht="20.100000000000001" customHeight="1" x14ac:dyDescent="0.2">
      <c r="A12" s="94" t="s">
        <v>192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20.100000000000001" customHeight="1" x14ac:dyDescent="0.2">
      <c r="A13" s="95" t="s">
        <v>530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20.100000000000001" customHeight="1" x14ac:dyDescent="0.2">
      <c r="A14" s="95" t="s">
        <v>531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20.100000000000001" customHeight="1" x14ac:dyDescent="0.2">
      <c r="A15" s="7" t="s">
        <v>121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20.100000000000001" customHeight="1" x14ac:dyDescent="0.2">
      <c r="A16" s="7" t="s">
        <v>113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20.100000000000001" customHeight="1" x14ac:dyDescent="0.2">
      <c r="A17" s="7" t="s">
        <v>411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ht="20.100000000000001" customHeight="1" x14ac:dyDescent="0.2">
      <c r="A18" s="7" t="s">
        <v>412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20.100000000000001" customHeight="1" x14ac:dyDescent="0.2">
      <c r="A19" s="7" t="s">
        <v>179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20.100000000000001" customHeight="1" x14ac:dyDescent="0.2">
      <c r="A20" s="7" t="s">
        <v>413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ht="20.100000000000001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ht="20.100000000000001" customHeight="1" x14ac:dyDescent="0.2">
      <c r="A22" s="282" t="s">
        <v>548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20.100000000000001" customHeight="1" x14ac:dyDescent="0.2">
      <c r="A23" s="282" t="s">
        <v>552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t="20.100000000000001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t="20.100000000000001" customHeight="1" x14ac:dyDescent="0.2">
      <c r="A25" s="7" t="s">
        <v>414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20.100000000000001" customHeight="1" x14ac:dyDescent="0.2">
      <c r="A26" s="10" t="s">
        <v>167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ht="20.100000000000001" customHeight="1" x14ac:dyDescent="0.2">
      <c r="A27" s="7" t="s">
        <v>122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ht="20.100000000000001" customHeight="1" x14ac:dyDescent="0.2">
      <c r="A28" s="7" t="s">
        <v>180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20.100000000000001" customHeight="1" x14ac:dyDescent="0.2">
      <c r="A29" s="7" t="s">
        <v>159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20.100000000000001" customHeight="1" x14ac:dyDescent="0.2">
      <c r="A30" s="7" t="s">
        <v>367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ht="20.100000000000001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20.100000000000001" customHeight="1" x14ac:dyDescent="0.2">
      <c r="A32" s="7" t="s">
        <v>549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20.100000000000001" customHeight="1" x14ac:dyDescent="0.2">
      <c r="A33" s="7" t="s">
        <v>181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ht="20.100000000000001" customHeight="1" x14ac:dyDescent="0.2">
      <c r="A34" s="7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</row>
    <row r="35" spans="1:16" ht="20.100000000000001" customHeight="1" x14ac:dyDescent="0.2">
      <c r="A35" s="7" t="s">
        <v>550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20.10000000000000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ht="20.100000000000001" customHeight="1" x14ac:dyDescent="0.2">
      <c r="A37" s="7" t="s">
        <v>551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ht="20.100000000000001" customHeight="1" x14ac:dyDescent="0.2">
      <c r="A38" s="7" t="s">
        <v>168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20.100000000000001" customHeight="1" x14ac:dyDescent="0.2">
      <c r="A39" s="7" t="s">
        <v>169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20.100000000000001" customHeight="1" x14ac:dyDescent="0.2">
      <c r="A40" s="7" t="s">
        <v>194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20.100000000000001" customHeight="1" x14ac:dyDescent="0.2">
      <c r="A41" s="7" t="s">
        <v>160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 ht="20.100000000000001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6" ht="20.100000000000001" customHeight="1" x14ac:dyDescent="0.2">
      <c r="A43" s="10" t="s">
        <v>170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ht="20.100000000000001" customHeight="1" x14ac:dyDescent="0.2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6" ht="20.100000000000001" customHeight="1" x14ac:dyDescent="0.2">
      <c r="A45" s="10" t="s">
        <v>182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ht="20.100000000000001" customHeight="1" x14ac:dyDescent="0.2">
      <c r="A46" s="7" t="s">
        <v>183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 ht="20.100000000000001" customHeight="1" x14ac:dyDescent="0.2">
      <c r="A47" s="7" t="s">
        <v>163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ht="20.100000000000001" customHeight="1" x14ac:dyDescent="0.2">
      <c r="A48" s="7" t="s">
        <v>164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6" ht="20.100000000000001" customHeight="1" x14ac:dyDescent="0.2">
      <c r="A49" s="7" t="s">
        <v>165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6" ht="20.100000000000001" customHeight="1" x14ac:dyDescent="0.2">
      <c r="A51" s="10" t="s">
        <v>415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6" ht="20.100000000000001" customHeight="1" x14ac:dyDescent="0.2">
      <c r="A52" s="7" t="s">
        <v>171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1:16" ht="20.100000000000001" customHeight="1" x14ac:dyDescent="0.2">
      <c r="A53" s="7" t="s">
        <v>123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ht="20.100000000000001" customHeight="1" x14ac:dyDescent="0.2">
      <c r="A54" s="7" t="s">
        <v>124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ht="20.100000000000001" customHeight="1" x14ac:dyDescent="0.2">
      <c r="A55" s="7" t="s">
        <v>416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ht="20.100000000000001" customHeight="1" x14ac:dyDescent="0.2">
      <c r="A56" s="7" t="s">
        <v>417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1:16" ht="20.100000000000001" customHeight="1" x14ac:dyDescent="0.2">
      <c r="A57" s="7" t="s">
        <v>490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6" ht="20.100000000000001" customHeight="1" x14ac:dyDescent="0.2">
      <c r="A58" s="7" t="s">
        <v>491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6" ht="25.5" customHeight="1" x14ac:dyDescent="0.25">
      <c r="A59" s="7"/>
      <c r="B59" s="34"/>
      <c r="C59" s="34"/>
      <c r="D59" s="34"/>
      <c r="E59" s="34"/>
      <c r="F59" s="34"/>
      <c r="G59" s="34"/>
      <c r="H59" s="34"/>
      <c r="J59" s="9"/>
      <c r="K59" s="9"/>
      <c r="L59" s="9"/>
      <c r="M59" s="9"/>
      <c r="N59" s="9"/>
      <c r="O59" s="9"/>
      <c r="P59" s="9"/>
    </row>
    <row r="60" spans="1:16" ht="25.5" customHeight="1" x14ac:dyDescent="0.25">
      <c r="A60" s="10" t="s">
        <v>418</v>
      </c>
      <c r="B60" s="34"/>
      <c r="C60" s="34"/>
      <c r="D60" s="34"/>
      <c r="E60" s="34"/>
      <c r="F60" s="34"/>
      <c r="G60" s="34"/>
      <c r="H60" s="34"/>
      <c r="J60" s="9"/>
      <c r="K60" s="9"/>
      <c r="L60" s="9"/>
      <c r="M60" s="9"/>
      <c r="N60" s="9"/>
      <c r="O60" s="9"/>
      <c r="P60" s="9"/>
    </row>
    <row r="61" spans="1:16" ht="25.5" customHeight="1" x14ac:dyDescent="0.25">
      <c r="A61" s="7" t="s">
        <v>172</v>
      </c>
      <c r="B61" s="34"/>
      <c r="C61" s="34"/>
      <c r="D61" s="34"/>
      <c r="E61" s="34"/>
      <c r="F61" s="34"/>
      <c r="G61" s="34"/>
      <c r="H61" s="34"/>
      <c r="J61" s="9"/>
      <c r="K61" s="9"/>
      <c r="L61" s="9"/>
      <c r="M61" s="9"/>
      <c r="N61" s="9"/>
      <c r="O61" s="9"/>
      <c r="P61" s="9"/>
    </row>
    <row r="62" spans="1:16" ht="20.100000000000001" customHeight="1" x14ac:dyDescent="0.2">
      <c r="A62" s="7" t="s">
        <v>173</v>
      </c>
      <c r="J62" s="9"/>
      <c r="K62" s="9"/>
      <c r="L62" s="9"/>
      <c r="M62" s="9"/>
      <c r="N62" s="9"/>
      <c r="O62" s="9"/>
      <c r="P62" s="9"/>
    </row>
    <row r="63" spans="1:16" ht="20.100000000000001" customHeight="1" x14ac:dyDescent="0.2">
      <c r="A63" s="7" t="s">
        <v>419</v>
      </c>
      <c r="J63" s="9"/>
      <c r="K63" s="9"/>
      <c r="L63" s="9"/>
      <c r="M63" s="9"/>
      <c r="N63" s="9"/>
      <c r="O63" s="9"/>
      <c r="P63" s="9"/>
    </row>
    <row r="64" spans="1:16" ht="20.100000000000001" customHeight="1" x14ac:dyDescent="0.2">
      <c r="A64" s="7"/>
      <c r="K64" s="9"/>
      <c r="L64" s="9"/>
      <c r="M64" s="9"/>
      <c r="N64" s="9"/>
      <c r="O64" s="9"/>
      <c r="P64" s="9"/>
    </row>
    <row r="65" spans="1:17" ht="20.100000000000001" customHeight="1" x14ac:dyDescent="0.2">
      <c r="A65" s="10" t="s">
        <v>422</v>
      </c>
      <c r="K65" s="9"/>
      <c r="L65" s="9"/>
      <c r="M65" s="9"/>
      <c r="N65" s="9"/>
      <c r="O65" s="9"/>
      <c r="P65" s="9"/>
    </row>
    <row r="66" spans="1:17" ht="20.100000000000001" customHeight="1" x14ac:dyDescent="0.2">
      <c r="A66" s="39" t="s">
        <v>555</v>
      </c>
      <c r="K66" s="9"/>
      <c r="L66" s="9"/>
      <c r="M66" s="9"/>
      <c r="N66" s="9"/>
      <c r="O66" s="9"/>
      <c r="P66" s="9"/>
    </row>
    <row r="67" spans="1:17" ht="20.100000000000001" customHeight="1" x14ac:dyDescent="0.25">
      <c r="A67" s="37" t="s">
        <v>556</v>
      </c>
      <c r="K67" s="9"/>
      <c r="L67" s="9"/>
      <c r="M67" s="9"/>
      <c r="N67" s="9"/>
      <c r="O67" s="9"/>
      <c r="P67" s="9"/>
    </row>
    <row r="68" spans="1:17" ht="20.100000000000001" customHeight="1" x14ac:dyDescent="0.25">
      <c r="A68" s="37" t="s">
        <v>553</v>
      </c>
      <c r="K68" s="9"/>
      <c r="L68" s="9"/>
      <c r="M68" s="9"/>
      <c r="N68" s="9"/>
      <c r="O68" s="9"/>
      <c r="P68" s="9"/>
    </row>
    <row r="69" spans="1:17" s="37" customFormat="1" ht="20.100000000000001" customHeight="1" x14ac:dyDescent="0.25">
      <c r="A69" s="37" t="s">
        <v>554</v>
      </c>
    </row>
    <row r="70" spans="1:17" ht="20.100000000000001" customHeight="1" x14ac:dyDescent="0.25">
      <c r="A70" s="37"/>
      <c r="K70" s="9"/>
      <c r="L70" s="9"/>
      <c r="M70" s="9"/>
      <c r="N70" s="9"/>
      <c r="O70" s="9"/>
      <c r="P70" s="9"/>
    </row>
    <row r="71" spans="1:17" ht="20.100000000000001" customHeight="1" x14ac:dyDescent="0.25">
      <c r="A71" s="23" t="s">
        <v>147</v>
      </c>
      <c r="K71" s="9"/>
      <c r="L71" s="9"/>
      <c r="M71" s="9"/>
      <c r="N71" s="9"/>
      <c r="O71" s="9"/>
      <c r="P71" s="9"/>
    </row>
    <row r="72" spans="1:17" ht="19.5" customHeight="1" x14ac:dyDescent="0.25">
      <c r="A72" s="23" t="s">
        <v>420</v>
      </c>
      <c r="K72" s="9"/>
      <c r="L72" s="9"/>
      <c r="M72" s="9"/>
      <c r="N72" s="9"/>
      <c r="O72" s="9"/>
      <c r="P72" s="9"/>
    </row>
    <row r="73" spans="1:17" ht="20.100000000000001" customHeight="1" x14ac:dyDescent="0.25">
      <c r="A73" s="38" t="s">
        <v>423</v>
      </c>
      <c r="E73" s="33"/>
      <c r="F73" s="33"/>
      <c r="G73" s="33"/>
      <c r="H73" s="33"/>
      <c r="I73" s="33"/>
      <c r="J73" s="33"/>
      <c r="K73" s="33"/>
      <c r="L73" s="9"/>
      <c r="M73" s="9"/>
      <c r="N73" s="9"/>
      <c r="O73" s="9"/>
      <c r="P73" s="9"/>
      <c r="Q73" s="9"/>
    </row>
    <row r="74" spans="1:17" ht="20.100000000000001" customHeight="1" x14ac:dyDescent="0.25">
      <c r="A74" s="38"/>
      <c r="D74" s="33"/>
      <c r="E74" s="33"/>
      <c r="F74" s="33"/>
      <c r="G74" s="33"/>
      <c r="H74" s="33"/>
      <c r="I74" s="33"/>
      <c r="J74" s="33"/>
      <c r="K74" s="9"/>
      <c r="L74" s="9"/>
      <c r="M74" s="9"/>
      <c r="N74" s="9"/>
      <c r="O74" s="9"/>
      <c r="P74" s="9"/>
    </row>
    <row r="75" spans="1:17" ht="20.100000000000001" customHeight="1" x14ac:dyDescent="0.2">
      <c r="A75" s="98" t="s">
        <v>421</v>
      </c>
      <c r="K75" s="9"/>
      <c r="L75" s="9"/>
      <c r="M75" s="9"/>
      <c r="N75" s="9"/>
      <c r="O75" s="9"/>
      <c r="P75" s="9"/>
    </row>
    <row r="76" spans="1:17" ht="20.100000000000001" customHeight="1" x14ac:dyDescent="0.2">
      <c r="A76" s="98"/>
      <c r="K76" s="9"/>
      <c r="L76" s="9"/>
      <c r="M76" s="9"/>
      <c r="N76" s="9"/>
      <c r="O76" s="9"/>
      <c r="P76" s="9"/>
    </row>
    <row r="77" spans="1:17" s="18" customFormat="1" ht="19.5" customHeight="1" x14ac:dyDescent="0.25">
      <c r="A77" s="38" t="s">
        <v>424</v>
      </c>
      <c r="L77" s="192"/>
      <c r="M77" s="192"/>
      <c r="N77" s="192"/>
      <c r="O77" s="192"/>
      <c r="P77" s="192"/>
      <c r="Q77" s="192"/>
    </row>
    <row r="78" spans="1:17" ht="20.100000000000001" customHeight="1" x14ac:dyDescent="0.25">
      <c r="A78" s="38"/>
      <c r="E78" s="33"/>
      <c r="F78" s="33"/>
      <c r="G78" s="33"/>
      <c r="H78" s="33"/>
      <c r="I78" s="33"/>
      <c r="J78" s="33"/>
      <c r="K78" s="33"/>
      <c r="L78" s="9"/>
      <c r="M78" s="9"/>
      <c r="N78" s="9"/>
      <c r="O78" s="9"/>
      <c r="P78" s="9"/>
      <c r="Q78" s="9"/>
    </row>
    <row r="79" spans="1:17" ht="20.100000000000001" customHeight="1" x14ac:dyDescent="0.3">
      <c r="A79" s="281" t="s">
        <v>540</v>
      </c>
      <c r="D79" s="33"/>
      <c r="E79" s="33"/>
      <c r="F79" s="33"/>
      <c r="G79" s="33"/>
      <c r="H79" s="33"/>
      <c r="I79" s="33"/>
      <c r="J79" s="9"/>
      <c r="K79" s="9"/>
      <c r="L79" s="9"/>
      <c r="M79" s="9"/>
      <c r="N79" s="9"/>
      <c r="O79" s="9"/>
      <c r="P79" s="9"/>
    </row>
    <row r="80" spans="1:17" ht="20.100000000000001" customHeight="1" x14ac:dyDescent="0.3">
      <c r="A80" s="281" t="s">
        <v>565</v>
      </c>
      <c r="D80" s="13"/>
      <c r="E80" s="13"/>
      <c r="F80" s="13"/>
      <c r="G80" s="13"/>
      <c r="H80" s="13"/>
      <c r="I80" s="13"/>
      <c r="J80" s="13"/>
      <c r="K80" s="9"/>
      <c r="L80" s="9"/>
      <c r="M80" s="9"/>
      <c r="N80" s="9"/>
      <c r="O80" s="9"/>
      <c r="P80" s="9"/>
    </row>
    <row r="81" spans="1:23" ht="20.100000000000001" customHeight="1" x14ac:dyDescent="0.25">
      <c r="A81" s="98"/>
      <c r="D81" s="13"/>
      <c r="E81" s="13"/>
      <c r="F81" s="13"/>
      <c r="G81" s="13"/>
      <c r="H81" s="13"/>
      <c r="I81" s="13"/>
      <c r="J81" s="9"/>
      <c r="K81" s="9"/>
      <c r="L81" s="9"/>
      <c r="M81" s="9"/>
      <c r="N81" s="9"/>
      <c r="O81" s="9"/>
      <c r="P81" s="9"/>
    </row>
    <row r="82" spans="1:23" ht="20.100000000000001" customHeight="1" x14ac:dyDescent="0.25">
      <c r="A82" s="38" t="s">
        <v>409</v>
      </c>
      <c r="C82" s="33"/>
      <c r="D82" s="33"/>
      <c r="E82" s="33"/>
      <c r="F82" s="33"/>
      <c r="G82" s="33"/>
      <c r="H82" s="33"/>
      <c r="I82" s="33"/>
      <c r="J82" s="33"/>
      <c r="K82" s="9"/>
      <c r="L82" s="9"/>
      <c r="M82" s="9"/>
      <c r="N82" s="9"/>
      <c r="O82" s="9"/>
      <c r="P82" s="9"/>
    </row>
    <row r="83" spans="1:23" ht="20.100000000000001" customHeight="1" x14ac:dyDescent="0.25">
      <c r="A83" s="284" t="s">
        <v>568</v>
      </c>
      <c r="C83" s="26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23" ht="20.100000000000001" customHeight="1" x14ac:dyDescent="0.25">
      <c r="A84" s="276" t="s">
        <v>569</v>
      </c>
      <c r="C84" s="26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23" ht="20.100000000000001" customHeight="1" x14ac:dyDescent="0.2">
      <c r="A85" s="276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23" ht="20.100000000000001" customHeight="1" x14ac:dyDescent="0.25">
      <c r="A86" s="181" t="s">
        <v>425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23" ht="20.100000000000001" customHeight="1" x14ac:dyDescent="0.2">
      <c r="A87" s="276" t="s">
        <v>557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23" ht="20.100000000000001" customHeight="1" x14ac:dyDescent="0.2">
      <c r="A88" s="183" t="s">
        <v>464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23" ht="20.100000000000001" customHeight="1" x14ac:dyDescent="0.2">
      <c r="A89" s="183" t="s">
        <v>465</v>
      </c>
      <c r="C89" s="14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23" ht="20.100000000000001" customHeight="1" x14ac:dyDescent="0.25">
      <c r="A90" s="11" t="s">
        <v>462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23" ht="20.100000000000001" customHeight="1" x14ac:dyDescent="0.25">
      <c r="A91" s="184" t="s">
        <v>463</v>
      </c>
      <c r="D91" s="33"/>
      <c r="E91" s="33"/>
      <c r="F91" s="33"/>
      <c r="G91" s="33"/>
      <c r="H91" s="33"/>
      <c r="I91" s="33"/>
      <c r="J91" s="33"/>
      <c r="K91" s="9"/>
      <c r="L91" s="9"/>
      <c r="M91" s="9"/>
      <c r="N91" s="9"/>
      <c r="O91" s="9"/>
      <c r="P91" s="9"/>
    </row>
    <row r="92" spans="1:23" ht="18" x14ac:dyDescent="0.25">
      <c r="A92" s="184" t="s">
        <v>466</v>
      </c>
    </row>
    <row r="93" spans="1:23" ht="20.100000000000001" customHeight="1" x14ac:dyDescent="0.25">
      <c r="A93" s="184" t="s">
        <v>427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1"/>
      <c r="R93" s="1"/>
      <c r="S93" s="1"/>
      <c r="T93" s="1"/>
      <c r="U93" s="1"/>
      <c r="V93" s="1"/>
      <c r="W93" s="1"/>
    </row>
    <row r="94" spans="1:23" ht="20.100000000000001" customHeight="1" x14ac:dyDescent="0.25">
      <c r="A94" s="184" t="s">
        <v>429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1"/>
      <c r="R94" s="1"/>
      <c r="S94" s="1"/>
      <c r="T94" s="1"/>
      <c r="U94" s="1"/>
      <c r="V94" s="1"/>
      <c r="W94" s="1"/>
    </row>
    <row r="95" spans="1:23" ht="20.100000000000001" customHeight="1" x14ac:dyDescent="0.25">
      <c r="A95" s="184" t="s">
        <v>428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1"/>
      <c r="R95" s="1"/>
      <c r="S95" s="1"/>
      <c r="T95" s="1"/>
      <c r="U95" s="1"/>
      <c r="V95" s="1"/>
      <c r="W95" s="1"/>
    </row>
    <row r="96" spans="1:23" ht="20.100000000000001" customHeight="1" x14ac:dyDescent="0.25">
      <c r="A96" s="182" t="s">
        <v>426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1"/>
      <c r="R96" s="1"/>
      <c r="S96" s="1"/>
      <c r="T96" s="1"/>
      <c r="U96" s="1"/>
      <c r="V96" s="1"/>
      <c r="W96" s="1"/>
    </row>
    <row r="97" spans="1:23" ht="20.100000000000001" customHeight="1" x14ac:dyDescent="0.25">
      <c r="A97" s="182" t="s">
        <v>541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1"/>
      <c r="R97" s="1"/>
      <c r="S97" s="1"/>
      <c r="T97" s="1"/>
      <c r="U97" s="1"/>
      <c r="V97" s="1"/>
      <c r="W97" s="1"/>
    </row>
    <row r="98" spans="1:23" ht="20.100000000000001" customHeight="1" x14ac:dyDescent="0.25">
      <c r="A98" s="182" t="s">
        <v>542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1"/>
      <c r="R98" s="1"/>
      <c r="S98" s="1"/>
      <c r="T98" s="1"/>
      <c r="U98" s="1"/>
      <c r="V98" s="1"/>
      <c r="W98" s="1"/>
    </row>
    <row r="99" spans="1:23" ht="20.100000000000001" customHeight="1" x14ac:dyDescent="0.25">
      <c r="A99" s="182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1"/>
      <c r="R99" s="1"/>
      <c r="S99" s="1"/>
      <c r="T99" s="1"/>
      <c r="U99" s="1"/>
      <c r="V99" s="1"/>
      <c r="W99" s="1"/>
    </row>
    <row r="100" spans="1:23" ht="20.100000000000001" customHeight="1" x14ac:dyDescent="0.25">
      <c r="A100" s="182" t="s">
        <v>560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1"/>
      <c r="R100" s="1"/>
      <c r="S100" s="1"/>
      <c r="T100" s="1"/>
      <c r="U100" s="1"/>
      <c r="V100" s="1"/>
      <c r="W100" s="1"/>
    </row>
    <row r="101" spans="1:23" ht="20.100000000000001" customHeight="1" x14ac:dyDescent="0.25">
      <c r="A101" s="182" t="s">
        <v>561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1"/>
      <c r="R101" s="1"/>
      <c r="S101" s="1"/>
      <c r="T101" s="1"/>
      <c r="U101" s="1"/>
      <c r="V101" s="1"/>
      <c r="W101" s="1"/>
    </row>
    <row r="102" spans="1:23" ht="20.100000000000001" customHeight="1" x14ac:dyDescent="0.25">
      <c r="A102" s="182" t="s">
        <v>558</v>
      </c>
      <c r="B102" s="24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1"/>
      <c r="R102" s="1"/>
      <c r="S102" s="1"/>
      <c r="T102" s="1"/>
      <c r="U102" s="1"/>
      <c r="V102" s="1"/>
      <c r="W102" s="1"/>
    </row>
    <row r="103" spans="1:23" ht="20.100000000000001" customHeight="1" x14ac:dyDescent="0.25">
      <c r="A103" s="182" t="s">
        <v>559</v>
      </c>
      <c r="B103" s="25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1"/>
      <c r="R103" s="1"/>
      <c r="S103" s="1"/>
      <c r="T103" s="1"/>
      <c r="U103" s="1"/>
      <c r="V103" s="1"/>
      <c r="W103" s="1"/>
    </row>
    <row r="104" spans="1:23" ht="20.100000000000001" customHeight="1" x14ac:dyDescent="0.25">
      <c r="A104" s="182"/>
      <c r="B104" s="25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1"/>
      <c r="R104" s="1"/>
      <c r="S104" s="1"/>
      <c r="T104" s="1"/>
      <c r="U104" s="1"/>
      <c r="V104" s="1"/>
      <c r="W104" s="1"/>
    </row>
    <row r="105" spans="1:23" ht="20.100000000000001" customHeight="1" x14ac:dyDescent="0.25">
      <c r="A105" s="276" t="s">
        <v>532</v>
      </c>
      <c r="B105" s="12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23" ht="18" x14ac:dyDescent="0.25">
      <c r="B106" s="12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23" ht="20.100000000000001" customHeight="1" x14ac:dyDescent="0.25">
      <c r="A107" s="276" t="s">
        <v>567</v>
      </c>
      <c r="B107" s="11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23" ht="20.100000000000001" customHeight="1" x14ac:dyDescent="0.2">
      <c r="A108" s="14" t="s">
        <v>185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1:23" ht="20.100000000000001" customHeight="1" x14ac:dyDescent="0.2">
      <c r="A109" s="14" t="s">
        <v>186</v>
      </c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23" ht="20.100000000000001" customHeight="1" x14ac:dyDescent="0.2">
      <c r="A110" s="14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23" ht="19.5" customHeight="1" x14ac:dyDescent="0.25">
      <c r="A111" s="23" t="s">
        <v>187</v>
      </c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23" ht="20.100000000000001" customHeight="1" x14ac:dyDescent="0.25">
      <c r="A112" s="23" t="s">
        <v>188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 ht="19.5" customHeight="1" x14ac:dyDescent="0.2">
      <c r="A113" s="7" t="s">
        <v>151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ht="19.5" customHeight="1" x14ac:dyDescent="0.25">
      <c r="A114" s="24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 ht="20.100000000000001" customHeight="1" x14ac:dyDescent="0.2">
      <c r="A115" s="10" t="s">
        <v>430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ht="20.100000000000001" customHeight="1" x14ac:dyDescent="0.2">
      <c r="A116" s="7" t="s">
        <v>570</v>
      </c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ht="20.100000000000001" customHeight="1" x14ac:dyDescent="0.2">
      <c r="A117" s="7" t="s">
        <v>571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ht="20.100000000000001" customHeight="1" x14ac:dyDescent="0.2">
      <c r="A118" s="7" t="s">
        <v>572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ht="20.100000000000001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ht="20.100000000000001" customHeight="1" x14ac:dyDescent="0.2">
      <c r="A120" s="10" t="s">
        <v>431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 ht="20.100000000000001" customHeight="1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ht="20.100000000000001" customHeight="1" x14ac:dyDescent="0.2">
      <c r="A122" s="10" t="s">
        <v>432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 ht="20.100000000000001" customHeight="1" x14ac:dyDescent="0.2">
      <c r="A123" s="7" t="s">
        <v>433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1:16" ht="20.100000000000001" customHeight="1" x14ac:dyDescent="0.2">
      <c r="A124" s="7" t="s">
        <v>533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1:16" ht="20.100000000000001" customHeight="1" x14ac:dyDescent="0.2">
      <c r="A125" s="7" t="s">
        <v>434</v>
      </c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ht="20.100000000000001" customHeight="1" x14ac:dyDescent="0.2">
      <c r="A126" s="7" t="s">
        <v>435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 ht="20.100000000000001" customHeight="1" x14ac:dyDescent="0.2">
      <c r="A127" s="7" t="s">
        <v>436</v>
      </c>
    </row>
    <row r="128" spans="1:16" ht="20.100000000000001" customHeight="1" x14ac:dyDescent="0.2">
      <c r="A128" s="7" t="s">
        <v>437</v>
      </c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ht="20.100000000000001" customHeight="1" x14ac:dyDescent="0.2">
      <c r="A129" s="7" t="s">
        <v>438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ht="20.100000000000001" customHeight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ht="20.100000000000001" customHeight="1" x14ac:dyDescent="0.2">
      <c r="A131" s="7" t="s">
        <v>544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ht="20.100000000000001" customHeight="1" x14ac:dyDescent="0.2">
      <c r="A132" s="279" t="s">
        <v>545</v>
      </c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ht="20.100000000000001" customHeight="1" x14ac:dyDescent="0.2">
      <c r="A133" s="280" t="s">
        <v>543</v>
      </c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ht="20.100000000000001" customHeight="1" x14ac:dyDescent="0.2">
      <c r="A134" s="7" t="s">
        <v>546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1:16" ht="20.100000000000001" customHeight="1" x14ac:dyDescent="0.2">
      <c r="A135" s="7" t="s">
        <v>547</v>
      </c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ht="20.100000000000001" customHeight="1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 ht="24" customHeight="1" x14ac:dyDescent="0.2">
      <c r="A137" s="7" t="s">
        <v>439</v>
      </c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ht="20.100000000000001" customHeight="1" x14ac:dyDescent="0.2">
      <c r="A138" s="7" t="s">
        <v>440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ht="20.100000000000001" customHeight="1" x14ac:dyDescent="0.2">
      <c r="A139" s="7" t="s">
        <v>534</v>
      </c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1:16" ht="20.100000000000001" customHeight="1" x14ac:dyDescent="0.2">
      <c r="A140" s="7" t="s">
        <v>535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1:16" ht="20.100000000000001" customHeight="1" x14ac:dyDescent="0.2">
      <c r="A141" s="7" t="s">
        <v>536</v>
      </c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</row>
    <row r="142" spans="1:16" ht="18.75" x14ac:dyDescent="0.2">
      <c r="A142" s="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</row>
    <row r="143" spans="1:16" ht="30" customHeight="1" x14ac:dyDescent="0.2">
      <c r="A143" s="7" t="s">
        <v>441</v>
      </c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</row>
    <row r="144" spans="1:16" ht="30" customHeight="1" x14ac:dyDescent="0.25">
      <c r="A144" s="7" t="s">
        <v>125</v>
      </c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</row>
    <row r="145" spans="1:16" ht="20.25" x14ac:dyDescent="0.2">
      <c r="A145" s="7" t="s">
        <v>174</v>
      </c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20.25" x14ac:dyDescent="0.2">
      <c r="A146" s="14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20.25" x14ac:dyDescent="0.2">
      <c r="A147" s="7" t="s">
        <v>564</v>
      </c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8.75" x14ac:dyDescent="0.2">
      <c r="A148" s="7" t="s">
        <v>175</v>
      </c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1:16" ht="18" x14ac:dyDescent="0.2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</row>
    <row r="150" spans="1:16" ht="18" x14ac:dyDescent="0.2">
      <c r="A150" s="27" t="s">
        <v>158</v>
      </c>
    </row>
    <row r="151" spans="1:16" ht="18" x14ac:dyDescent="0.2">
      <c r="A151" s="7" t="s">
        <v>126</v>
      </c>
    </row>
    <row r="152" spans="1:16" ht="18" x14ac:dyDescent="0.2">
      <c r="A152" s="7" t="s">
        <v>189</v>
      </c>
    </row>
    <row r="153" spans="1:16" ht="18" x14ac:dyDescent="0.2">
      <c r="A153" s="7" t="s">
        <v>176</v>
      </c>
    </row>
    <row r="154" spans="1:16" ht="18" x14ac:dyDescent="0.2">
      <c r="A154" s="7" t="s">
        <v>177</v>
      </c>
    </row>
    <row r="155" spans="1:16" ht="18" x14ac:dyDescent="0.2">
      <c r="A155" s="7"/>
    </row>
    <row r="156" spans="1:16" ht="18" x14ac:dyDescent="0.2">
      <c r="A156" s="7" t="s">
        <v>442</v>
      </c>
    </row>
    <row r="157" spans="1:16" ht="18" x14ac:dyDescent="0.2">
      <c r="A157" s="7"/>
    </row>
    <row r="158" spans="1:16" ht="18" x14ac:dyDescent="0.2">
      <c r="A158" s="10" t="s">
        <v>178</v>
      </c>
    </row>
    <row r="159" spans="1:16" ht="18" x14ac:dyDescent="0.25">
      <c r="A159" s="7" t="s">
        <v>139</v>
      </c>
      <c r="B159" s="16"/>
    </row>
    <row r="160" spans="1:16" ht="18" x14ac:dyDescent="0.25">
      <c r="A160" s="7"/>
      <c r="D160" s="16"/>
    </row>
    <row r="161" spans="1:3" ht="18" x14ac:dyDescent="0.25">
      <c r="A161" s="23" t="s">
        <v>443</v>
      </c>
      <c r="C161" s="16"/>
    </row>
    <row r="162" spans="1:3" ht="18" x14ac:dyDescent="0.25">
      <c r="A162" s="23" t="s">
        <v>444</v>
      </c>
    </row>
    <row r="163" spans="1:3" ht="18.75" x14ac:dyDescent="0.25">
      <c r="A163" s="19" t="s">
        <v>502</v>
      </c>
      <c r="C163" s="16"/>
    </row>
    <row r="164" spans="1:3" ht="18.75" x14ac:dyDescent="0.2">
      <c r="A164" s="19" t="s">
        <v>504</v>
      </c>
    </row>
    <row r="165" spans="1:3" ht="18.75" x14ac:dyDescent="0.25">
      <c r="A165" s="19" t="s">
        <v>498</v>
      </c>
      <c r="C165" s="16"/>
    </row>
    <row r="166" spans="1:3" ht="18.75" x14ac:dyDescent="0.25">
      <c r="A166" s="19" t="s">
        <v>503</v>
      </c>
      <c r="B166" s="16"/>
    </row>
    <row r="167" spans="1:3" ht="18.75" x14ac:dyDescent="0.2">
      <c r="A167" s="19" t="s">
        <v>499</v>
      </c>
    </row>
    <row r="168" spans="1:3" ht="18.75" x14ac:dyDescent="0.2">
      <c r="A168" s="19" t="s">
        <v>500</v>
      </c>
    </row>
    <row r="169" spans="1:3" ht="18.75" x14ac:dyDescent="0.2">
      <c r="A169" s="19" t="s">
        <v>501</v>
      </c>
    </row>
    <row r="170" spans="1:3" ht="18.75" x14ac:dyDescent="0.2">
      <c r="A170" s="19"/>
    </row>
    <row r="171" spans="1:3" ht="18.75" x14ac:dyDescent="0.2">
      <c r="A171" s="28" t="s">
        <v>506</v>
      </c>
    </row>
    <row r="172" spans="1:3" ht="18.75" x14ac:dyDescent="0.2">
      <c r="A172" s="28" t="s">
        <v>507</v>
      </c>
    </row>
    <row r="173" spans="1:3" ht="18.75" x14ac:dyDescent="0.2">
      <c r="A173" s="28" t="s">
        <v>505</v>
      </c>
    </row>
    <row r="174" spans="1:3" ht="18.75" x14ac:dyDescent="0.3">
      <c r="A174" s="272" t="s">
        <v>508</v>
      </c>
    </row>
    <row r="175" spans="1:3" ht="18" x14ac:dyDescent="0.2">
      <c r="A175" s="10" t="s">
        <v>156</v>
      </c>
    </row>
    <row r="176" spans="1:3" ht="18" x14ac:dyDescent="0.25">
      <c r="A176" s="18" t="s">
        <v>157</v>
      </c>
    </row>
    <row r="177" spans="1:1" ht="18" x14ac:dyDescent="0.25">
      <c r="A177" s="18"/>
    </row>
    <row r="178" spans="1:1" ht="18" x14ac:dyDescent="0.25">
      <c r="A178" s="18" t="s">
        <v>509</v>
      </c>
    </row>
    <row r="179" spans="1:1" ht="18" x14ac:dyDescent="0.25">
      <c r="A179" s="18" t="s">
        <v>155</v>
      </c>
    </row>
    <row r="180" spans="1:1" ht="18" x14ac:dyDescent="0.25">
      <c r="A180" s="18"/>
    </row>
    <row r="181" spans="1:1" ht="18" x14ac:dyDescent="0.25">
      <c r="A181" s="23" t="s">
        <v>566</v>
      </c>
    </row>
    <row r="182" spans="1:1" ht="18" x14ac:dyDescent="0.25">
      <c r="A182" s="18" t="s">
        <v>510</v>
      </c>
    </row>
    <row r="183" spans="1:1" ht="18" x14ac:dyDescent="0.25">
      <c r="A183" s="18" t="s">
        <v>511</v>
      </c>
    </row>
    <row r="184" spans="1:1" ht="18" x14ac:dyDescent="0.25">
      <c r="A184" s="18" t="s">
        <v>513</v>
      </c>
    </row>
    <row r="185" spans="1:1" ht="18" x14ac:dyDescent="0.25">
      <c r="A185" s="18" t="s">
        <v>514</v>
      </c>
    </row>
    <row r="186" spans="1:1" ht="18" x14ac:dyDescent="0.25">
      <c r="A186" s="18" t="s">
        <v>512</v>
      </c>
    </row>
    <row r="187" spans="1:1" ht="18" x14ac:dyDescent="0.25">
      <c r="A187" s="18"/>
    </row>
    <row r="188" spans="1:1" ht="20.25" x14ac:dyDescent="0.2">
      <c r="A188" s="35" t="s">
        <v>320</v>
      </c>
    </row>
    <row r="189" spans="1:1" ht="20.25" x14ac:dyDescent="0.2">
      <c r="A189" s="6"/>
    </row>
    <row r="192" spans="1:1" ht="15.75" x14ac:dyDescent="0.25">
      <c r="A192" s="16"/>
    </row>
    <row r="194" spans="1:1" ht="15.75" x14ac:dyDescent="0.25">
      <c r="A194" s="16"/>
    </row>
    <row r="195" spans="1:1" ht="15.75" x14ac:dyDescent="0.25">
      <c r="A195" s="16"/>
    </row>
    <row r="196" spans="1:1" ht="15.75" x14ac:dyDescent="0.25">
      <c r="A196" s="16"/>
    </row>
    <row r="197" spans="1:1" ht="15.75" x14ac:dyDescent="0.25">
      <c r="A197" s="16"/>
    </row>
    <row r="198" spans="1:1" ht="15.75" x14ac:dyDescent="0.25">
      <c r="A198" s="16"/>
    </row>
    <row r="199" spans="1:1" ht="15.75" x14ac:dyDescent="0.25">
      <c r="A199" s="16"/>
    </row>
    <row r="200" spans="1:1" ht="15.75" x14ac:dyDescent="0.25">
      <c r="A200" s="17"/>
    </row>
    <row r="201" spans="1:1" ht="15.75" x14ac:dyDescent="0.25">
      <c r="A201" s="16"/>
    </row>
    <row r="202" spans="1:1" ht="15.75" x14ac:dyDescent="0.25">
      <c r="A202" s="17"/>
    </row>
    <row r="203" spans="1:1" ht="15.75" x14ac:dyDescent="0.25">
      <c r="A203" s="16"/>
    </row>
    <row r="204" spans="1:1" ht="15.75" x14ac:dyDescent="0.25">
      <c r="A204" s="16"/>
    </row>
    <row r="205" spans="1:1" ht="15.75" x14ac:dyDescent="0.25">
      <c r="A205" s="16"/>
    </row>
  </sheetData>
  <sheetProtection sheet="1" objects="1" scenarios="1" selectLockedCells="1"/>
  <phoneticPr fontId="2" type="noConversion"/>
  <hyperlinks>
    <hyperlink ref="A69" r:id="rId1" xr:uid="{00000000-0004-0000-0100-000000000000}"/>
    <hyperlink ref="A90" r:id="rId2" xr:uid="{00000000-0004-0000-0100-000001000000}"/>
    <hyperlink ref="A67" r:id="rId3" display="See http://www.dangl.at/ausruest/vid_tim/vid_tim1.htm for a detailed discussion of time correction issues." xr:uid="{00000000-0004-0000-0100-000002000000}"/>
  </hyperlinks>
  <pageMargins left="0.75" right="0.75" top="1" bottom="1" header="0.5" footer="0.5"/>
  <pageSetup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indexed="18"/>
  </sheetPr>
  <dimension ref="A1:AD49"/>
  <sheetViews>
    <sheetView showGridLines="0" tabSelected="1" zoomScale="90" workbookViewId="0">
      <pane ySplit="3" topLeftCell="A4" activePane="bottomLeft" state="frozen"/>
      <selection activeCell="A10" sqref="A10:D10"/>
      <selection pane="bottomLeft" activeCell="Z3" sqref="Z3:AC3"/>
    </sheetView>
  </sheetViews>
  <sheetFormatPr defaultRowHeight="12.75" x14ac:dyDescent="0.2"/>
  <cols>
    <col min="1" max="1" width="7.42578125" style="201" customWidth="1"/>
    <col min="2" max="2" width="9.5703125" style="201" customWidth="1"/>
    <col min="3" max="3" width="5.7109375" style="201" customWidth="1"/>
    <col min="4" max="4" width="5.5703125" style="201" customWidth="1"/>
    <col min="5" max="5" width="9.85546875" style="201" customWidth="1"/>
    <col min="6" max="6" width="9.5703125" style="201" customWidth="1"/>
    <col min="7" max="7" width="1.7109375" style="201" customWidth="1"/>
    <col min="8" max="8" width="9.5703125" style="201" customWidth="1"/>
    <col min="9" max="9" width="1.7109375" style="201" customWidth="1"/>
    <col min="10" max="14" width="5.7109375" style="201" customWidth="1"/>
    <col min="15" max="15" width="7.28515625" style="201" customWidth="1"/>
    <col min="16" max="16" width="7.5703125" style="201" customWidth="1"/>
    <col min="17" max="17" width="2.7109375" style="201" customWidth="1"/>
    <col min="18" max="21" width="5.7109375" style="201" customWidth="1"/>
    <col min="22" max="22" width="13.5703125" style="201" customWidth="1"/>
    <col min="23" max="25" width="5.7109375" style="201" customWidth="1"/>
    <col min="26" max="26" width="1.7109375" style="201" customWidth="1"/>
    <col min="27" max="27" width="5.7109375" style="201" customWidth="1"/>
    <col min="28" max="28" width="3.28515625" style="201" customWidth="1"/>
    <col min="29" max="29" width="7.140625" style="201" customWidth="1"/>
    <col min="30" max="16384" width="9.140625" style="201"/>
  </cols>
  <sheetData>
    <row r="1" spans="1:29" ht="27.95" customHeight="1" x14ac:dyDescent="0.2">
      <c r="A1" s="349" t="s">
        <v>109</v>
      </c>
      <c r="B1" s="349"/>
      <c r="C1" s="349"/>
      <c r="D1" s="349"/>
      <c r="E1" s="350"/>
      <c r="F1" s="350"/>
      <c r="G1" s="356" t="s">
        <v>82</v>
      </c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199"/>
      <c r="X1" s="199"/>
      <c r="Y1" s="199"/>
      <c r="Z1" s="199"/>
      <c r="AA1" s="200"/>
      <c r="AB1" s="199"/>
      <c r="AC1" s="199"/>
    </row>
    <row r="2" spans="1:29" ht="18" customHeight="1" x14ac:dyDescent="0.2">
      <c r="A2" s="351" t="s">
        <v>110</v>
      </c>
      <c r="B2" s="351"/>
      <c r="C2" s="351"/>
      <c r="D2" s="351"/>
      <c r="E2" s="352"/>
      <c r="F2" s="352"/>
      <c r="G2" s="202"/>
      <c r="H2" s="202"/>
      <c r="I2" s="202"/>
      <c r="J2" s="363" t="s">
        <v>105</v>
      </c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202"/>
      <c r="Z2" s="343" t="s">
        <v>578</v>
      </c>
      <c r="AA2" s="344"/>
      <c r="AB2" s="344"/>
      <c r="AC2" s="344"/>
    </row>
    <row r="3" spans="1:29" ht="14.1" customHeight="1" x14ac:dyDescent="0.2">
      <c r="A3" s="353"/>
      <c r="B3" s="353"/>
      <c r="C3" s="353"/>
      <c r="D3" s="353"/>
      <c r="E3" s="353"/>
      <c r="F3" s="353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199"/>
      <c r="T3" s="199"/>
      <c r="U3" s="199"/>
      <c r="Y3" s="204"/>
      <c r="Z3" s="291"/>
      <c r="AA3" s="291"/>
      <c r="AB3" s="291"/>
      <c r="AC3" s="291"/>
    </row>
    <row r="4" spans="1:29" ht="12" customHeight="1" x14ac:dyDescent="0.2"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199"/>
      <c r="T4" s="199"/>
      <c r="U4" s="199"/>
      <c r="Y4" s="204" t="s">
        <v>107</v>
      </c>
      <c r="Z4" s="204"/>
      <c r="AA4" s="204" t="s">
        <v>71</v>
      </c>
      <c r="AB4" s="204"/>
      <c r="AC4" s="195" t="s">
        <v>108</v>
      </c>
    </row>
    <row r="5" spans="1:29" ht="20.100000000000001" customHeight="1" x14ac:dyDescent="0.2">
      <c r="B5" s="333" t="s">
        <v>0</v>
      </c>
      <c r="C5" s="360"/>
      <c r="D5" s="361">
        <v>2018</v>
      </c>
      <c r="E5" s="361"/>
      <c r="F5" s="199"/>
      <c r="G5" s="199"/>
      <c r="H5" s="333" t="s">
        <v>1</v>
      </c>
      <c r="I5" s="333"/>
      <c r="J5" s="333"/>
      <c r="K5" s="362" t="s">
        <v>374</v>
      </c>
      <c r="L5" s="362"/>
      <c r="M5" s="202"/>
      <c r="N5" s="333" t="s">
        <v>104</v>
      </c>
      <c r="O5" s="333"/>
      <c r="P5" s="355"/>
      <c r="Q5" s="355"/>
      <c r="R5" s="355"/>
      <c r="S5" s="205"/>
      <c r="T5" s="358" t="s">
        <v>103</v>
      </c>
      <c r="U5" s="359"/>
      <c r="V5" s="359"/>
      <c r="W5" s="359"/>
      <c r="X5" s="359"/>
      <c r="Y5" s="206"/>
      <c r="Z5" s="205" t="s">
        <v>69</v>
      </c>
      <c r="AA5" s="208"/>
      <c r="AB5" s="209" t="s">
        <v>69</v>
      </c>
      <c r="AC5" s="210"/>
    </row>
    <row r="6" spans="1:29" ht="12" customHeight="1" x14ac:dyDescent="0.2"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211"/>
      <c r="M6" s="211"/>
      <c r="N6" s="204"/>
      <c r="O6" s="199"/>
      <c r="P6" s="199"/>
      <c r="Q6" s="199"/>
      <c r="R6" s="199"/>
      <c r="S6" s="354" t="s">
        <v>114</v>
      </c>
      <c r="T6" s="354"/>
      <c r="U6" s="354"/>
      <c r="V6" s="354"/>
      <c r="X6" s="354" t="s">
        <v>115</v>
      </c>
      <c r="Y6" s="354"/>
      <c r="Z6" s="354"/>
      <c r="AA6" s="354"/>
      <c r="AB6" s="354"/>
      <c r="AC6" s="354"/>
    </row>
    <row r="7" spans="1:29" ht="20.100000000000001" customHeight="1" x14ac:dyDescent="0.2">
      <c r="A7" s="333" t="s">
        <v>55</v>
      </c>
      <c r="B7" s="334"/>
      <c r="C7" s="334"/>
      <c r="D7" s="212" t="s">
        <v>73</v>
      </c>
      <c r="E7" s="332"/>
      <c r="F7" s="332"/>
      <c r="G7" s="213"/>
      <c r="H7" s="341" t="s">
        <v>80</v>
      </c>
      <c r="I7" s="342"/>
      <c r="J7" s="342"/>
      <c r="K7" s="332"/>
      <c r="L7" s="332"/>
      <c r="M7" s="332"/>
      <c r="N7" s="332"/>
      <c r="O7" s="332"/>
      <c r="P7" s="333" t="s">
        <v>56</v>
      </c>
      <c r="Q7" s="333"/>
      <c r="R7" s="333"/>
      <c r="S7" s="328" t="s">
        <v>96</v>
      </c>
      <c r="T7" s="329"/>
      <c r="U7" s="329"/>
      <c r="V7" s="329"/>
      <c r="W7" s="199"/>
      <c r="X7" s="330"/>
      <c r="Y7" s="330"/>
      <c r="Z7" s="330"/>
      <c r="AA7" s="330"/>
      <c r="AB7" s="330"/>
      <c r="AC7" s="330"/>
    </row>
    <row r="8" spans="1:29" ht="15.95" customHeight="1" x14ac:dyDescent="0.2">
      <c r="B8" s="199"/>
      <c r="C8" s="199"/>
      <c r="D8" s="199"/>
      <c r="E8" s="331" t="s">
        <v>573</v>
      </c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214" t="s">
        <v>319</v>
      </c>
      <c r="Q8" s="199"/>
      <c r="R8" s="199"/>
      <c r="S8" s="199"/>
      <c r="T8" s="199"/>
    </row>
    <row r="9" spans="1:29" ht="15.95" customHeight="1" x14ac:dyDescent="0.2">
      <c r="A9" s="311" t="s">
        <v>99</v>
      </c>
      <c r="B9" s="304"/>
      <c r="C9" s="304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11" t="s">
        <v>2</v>
      </c>
      <c r="Q9" s="293"/>
      <c r="R9" s="293"/>
      <c r="S9" s="345"/>
      <c r="T9" s="330"/>
      <c r="U9" s="330"/>
      <c r="V9" s="330"/>
      <c r="W9" s="330"/>
      <c r="X9" s="330"/>
      <c r="Y9" s="330"/>
      <c r="Z9" s="330"/>
      <c r="AA9" s="330"/>
      <c r="AB9" s="330"/>
      <c r="AC9" s="330"/>
    </row>
    <row r="10" spans="1:29" ht="3.95" customHeight="1" x14ac:dyDescent="0.2">
      <c r="B10" s="199"/>
      <c r="C10" s="199"/>
      <c r="D10" s="196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199"/>
      <c r="Q10" s="199"/>
      <c r="R10" s="199"/>
      <c r="S10" s="196"/>
      <c r="T10" s="215"/>
      <c r="U10" s="196"/>
      <c r="V10" s="196"/>
      <c r="W10" s="196"/>
      <c r="X10" s="196"/>
      <c r="Y10" s="196"/>
      <c r="Z10" s="196"/>
      <c r="AA10" s="196"/>
      <c r="AB10" s="196"/>
      <c r="AC10" s="196"/>
    </row>
    <row r="11" spans="1:29" ht="15.95" customHeight="1" x14ac:dyDescent="0.2">
      <c r="A11" s="335" t="s">
        <v>94</v>
      </c>
      <c r="B11" s="335"/>
      <c r="C11" s="335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5" t="s">
        <v>3</v>
      </c>
      <c r="Q11" s="335"/>
      <c r="R11" s="335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</row>
    <row r="12" spans="1:29" ht="3.95" customHeight="1" x14ac:dyDescent="0.2">
      <c r="A12" s="216"/>
      <c r="B12" s="217"/>
      <c r="C12" s="217"/>
      <c r="D12" s="196"/>
      <c r="E12" s="327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17"/>
      <c r="Q12" s="217"/>
      <c r="R12" s="217"/>
      <c r="S12" s="196"/>
      <c r="T12" s="215"/>
      <c r="U12" s="196"/>
      <c r="V12" s="196"/>
      <c r="W12" s="196"/>
      <c r="X12" s="196"/>
      <c r="Y12" s="196"/>
      <c r="Z12" s="196"/>
      <c r="AA12" s="196"/>
      <c r="AB12" s="196"/>
      <c r="AC12" s="196"/>
    </row>
    <row r="13" spans="1:29" ht="15.95" customHeight="1" x14ac:dyDescent="0.2">
      <c r="A13" s="335" t="s">
        <v>57</v>
      </c>
      <c r="B13" s="335"/>
      <c r="C13" s="335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5" t="s">
        <v>4</v>
      </c>
      <c r="Q13" s="335"/>
      <c r="R13" s="335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</row>
    <row r="14" spans="1:29" ht="15.95" customHeight="1" x14ac:dyDescent="0.2">
      <c r="B14" s="204"/>
      <c r="C14" s="204"/>
      <c r="D14" s="199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199"/>
      <c r="Q14" s="199"/>
      <c r="R14" s="199"/>
      <c r="S14" s="199"/>
      <c r="T14" s="199"/>
    </row>
    <row r="15" spans="1:29" ht="15.95" customHeight="1" x14ac:dyDescent="0.2">
      <c r="A15" s="288" t="s">
        <v>95</v>
      </c>
      <c r="B15" s="288"/>
      <c r="C15" s="288"/>
      <c r="D15" s="28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38" t="s">
        <v>135</v>
      </c>
      <c r="T15" s="338"/>
      <c r="U15" s="338"/>
      <c r="V15" s="338"/>
      <c r="W15" s="338"/>
      <c r="X15" s="290"/>
      <c r="Y15" s="290"/>
      <c r="Z15" s="290"/>
      <c r="AA15" s="290"/>
      <c r="AB15" s="290"/>
      <c r="AC15" s="290"/>
    </row>
    <row r="16" spans="1:29" ht="15.95" customHeight="1" x14ac:dyDescent="0.2">
      <c r="B16" s="204"/>
      <c r="C16" s="204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</row>
    <row r="17" spans="1:29" ht="15.95" customHeight="1" x14ac:dyDescent="0.2">
      <c r="B17" s="199"/>
      <c r="C17" s="199"/>
      <c r="D17" s="204"/>
      <c r="E17" s="336" t="s">
        <v>117</v>
      </c>
      <c r="F17" s="352"/>
      <c r="G17" s="352"/>
      <c r="H17" s="352"/>
      <c r="I17" s="199"/>
      <c r="J17" s="204" t="s">
        <v>53</v>
      </c>
      <c r="K17" s="199"/>
      <c r="L17" s="199"/>
      <c r="M17" s="199"/>
      <c r="N17" s="336" t="s">
        <v>117</v>
      </c>
      <c r="O17" s="336"/>
      <c r="P17" s="336"/>
      <c r="Q17" s="199"/>
      <c r="R17" s="204" t="s">
        <v>54</v>
      </c>
      <c r="S17" s="204"/>
      <c r="T17" s="199"/>
      <c r="U17" s="199"/>
      <c r="W17" s="204" t="s">
        <v>60</v>
      </c>
      <c r="X17" s="204"/>
    </row>
    <row r="18" spans="1:29" ht="15.95" customHeight="1" x14ac:dyDescent="0.2">
      <c r="A18" s="288" t="s">
        <v>98</v>
      </c>
      <c r="B18" s="288"/>
      <c r="C18" s="293" t="s">
        <v>58</v>
      </c>
      <c r="D18" s="293"/>
      <c r="E18" s="309"/>
      <c r="F18" s="309"/>
      <c r="G18" s="309"/>
      <c r="H18" s="309"/>
      <c r="I18" s="197"/>
      <c r="J18" s="220" t="s">
        <v>15</v>
      </c>
      <c r="K18" s="221"/>
      <c r="L18" s="293" t="s">
        <v>59</v>
      </c>
      <c r="M18" s="293"/>
      <c r="N18" s="309"/>
      <c r="O18" s="309"/>
      <c r="P18" s="309"/>
      <c r="Q18" s="197"/>
      <c r="R18" s="220" t="s">
        <v>17</v>
      </c>
      <c r="S18" s="222"/>
      <c r="T18" s="293" t="s">
        <v>134</v>
      </c>
      <c r="U18" s="293"/>
      <c r="V18" s="223"/>
      <c r="W18" s="220" t="s">
        <v>18</v>
      </c>
      <c r="X18" s="293" t="s">
        <v>5</v>
      </c>
      <c r="Y18" s="293"/>
      <c r="Z18" s="219"/>
      <c r="AA18" s="340" t="s">
        <v>37</v>
      </c>
      <c r="AB18" s="340"/>
      <c r="AC18" s="340"/>
    </row>
    <row r="19" spans="1:29" ht="15.95" customHeight="1" x14ac:dyDescent="0.2">
      <c r="B19" s="199"/>
      <c r="C19" s="199"/>
      <c r="D19" s="199"/>
      <c r="E19" s="199"/>
      <c r="F19" s="199"/>
      <c r="G19" s="199"/>
      <c r="H19" s="204" t="s">
        <v>64</v>
      </c>
      <c r="I19" s="204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291"/>
      <c r="U19" s="292"/>
      <c r="V19" s="292"/>
      <c r="W19" s="292"/>
      <c r="X19" s="292"/>
      <c r="Y19" s="292"/>
      <c r="Z19" s="292"/>
      <c r="AA19" s="292"/>
      <c r="AB19" s="292"/>
      <c r="AC19" s="292"/>
    </row>
    <row r="20" spans="1:29" ht="15.95" customHeight="1" x14ac:dyDescent="0.2">
      <c r="A20" s="288" t="s">
        <v>7</v>
      </c>
      <c r="B20" s="288"/>
      <c r="C20" s="293" t="s">
        <v>61</v>
      </c>
      <c r="D20" s="293"/>
      <c r="E20" s="320">
        <v>10</v>
      </c>
      <c r="F20" s="320"/>
      <c r="G20" s="224"/>
      <c r="H20" s="220" t="s">
        <v>63</v>
      </c>
      <c r="I20" s="203"/>
      <c r="J20" s="293" t="s">
        <v>8</v>
      </c>
      <c r="K20" s="293"/>
      <c r="L20" s="225"/>
      <c r="M20" s="293" t="s">
        <v>9</v>
      </c>
      <c r="N20" s="293"/>
      <c r="O20" s="293"/>
      <c r="P20" s="225"/>
      <c r="Q20" s="197"/>
      <c r="R20" s="293" t="s">
        <v>10</v>
      </c>
      <c r="S20" s="293"/>
      <c r="T20" s="326" t="s">
        <v>106</v>
      </c>
      <c r="U20" s="326"/>
      <c r="V20" s="326"/>
      <c r="W20" s="326"/>
      <c r="X20" s="326"/>
      <c r="Y20" s="222"/>
      <c r="Z20" s="222"/>
      <c r="AA20" s="222"/>
      <c r="AB20" s="222"/>
      <c r="AC20" s="222"/>
    </row>
    <row r="21" spans="1:29" ht="15.95" customHeight="1" x14ac:dyDescent="0.2">
      <c r="A21" s="288"/>
      <c r="B21" s="288"/>
      <c r="E21" s="291"/>
      <c r="F21" s="291"/>
      <c r="G21" s="199"/>
      <c r="H21" s="199"/>
      <c r="I21" s="199"/>
      <c r="J21" s="199"/>
      <c r="K21" s="199"/>
      <c r="L21" s="199"/>
      <c r="M21" s="199"/>
      <c r="N21" s="199"/>
      <c r="O21" s="291"/>
      <c r="P21" s="292"/>
      <c r="Q21" s="292"/>
      <c r="R21" s="292"/>
      <c r="S21" s="292"/>
      <c r="T21" s="292"/>
      <c r="U21" s="292"/>
      <c r="V21" s="292"/>
    </row>
    <row r="22" spans="1:29" ht="15.95" customHeight="1" x14ac:dyDescent="0.2">
      <c r="A22" s="288" t="s">
        <v>20</v>
      </c>
      <c r="B22" s="288"/>
      <c r="D22" s="222"/>
      <c r="E22" s="365" t="s">
        <v>21</v>
      </c>
      <c r="F22" s="365"/>
      <c r="G22" s="365"/>
      <c r="H22" s="365"/>
      <c r="I22" s="365"/>
      <c r="J22" s="222"/>
      <c r="K22" s="222"/>
      <c r="L22" s="203"/>
      <c r="M22" s="311" t="s">
        <v>27</v>
      </c>
      <c r="N22" s="311"/>
      <c r="O22" s="339" t="s">
        <v>31</v>
      </c>
      <c r="P22" s="339"/>
      <c r="Q22" s="339"/>
      <c r="R22" s="339"/>
      <c r="S22" s="339"/>
      <c r="T22" s="339"/>
      <c r="U22" s="294" t="s">
        <v>563</v>
      </c>
      <c r="V22" s="294"/>
      <c r="W22" s="294"/>
      <c r="X22" s="294"/>
      <c r="Y22" s="294"/>
      <c r="Z22" s="294"/>
      <c r="AA22" s="295" t="s">
        <v>50</v>
      </c>
      <c r="AB22" s="295"/>
      <c r="AC22" s="295"/>
    </row>
    <row r="23" spans="1:29" ht="15.95" customHeight="1" x14ac:dyDescent="0.2">
      <c r="A23" s="288" t="s">
        <v>191</v>
      </c>
      <c r="B23" s="288"/>
      <c r="C23" s="226"/>
      <c r="E23" s="296" t="s">
        <v>209</v>
      </c>
      <c r="F23" s="297"/>
      <c r="G23" s="297"/>
      <c r="H23" s="297"/>
      <c r="I23" s="297"/>
      <c r="J23" s="227"/>
      <c r="K23" s="227"/>
      <c r="L23" s="311" t="s">
        <v>385</v>
      </c>
      <c r="M23" s="312"/>
      <c r="N23" s="312"/>
      <c r="O23" s="298" t="s">
        <v>401</v>
      </c>
      <c r="P23" s="299"/>
      <c r="Q23" s="299"/>
      <c r="R23" s="299"/>
      <c r="S23" s="299"/>
      <c r="T23" s="299"/>
      <c r="V23" s="228"/>
    </row>
    <row r="24" spans="1:29" ht="15.95" customHeight="1" x14ac:dyDescent="0.2">
      <c r="A24" s="228"/>
      <c r="B24" s="228"/>
      <c r="C24" s="228"/>
      <c r="D24" s="228" t="str">
        <f>IF(_VTI_Type="AFT or OFT Flash Tag","Flash times should be determined by PYOTE"," ")</f>
        <v xml:space="preserve"> </v>
      </c>
      <c r="F24" s="228"/>
      <c r="G24" s="228"/>
      <c r="H24" s="228"/>
      <c r="I24" s="228"/>
      <c r="J24" s="228"/>
      <c r="K24" s="229" t="s">
        <v>153</v>
      </c>
      <c r="L24" s="199"/>
      <c r="M24" s="199"/>
      <c r="O24" s="230" t="s">
        <v>317</v>
      </c>
      <c r="P24" s="231"/>
      <c r="V24" s="232" t="s">
        <v>161</v>
      </c>
    </row>
    <row r="25" spans="1:29" ht="15.95" customHeight="1" x14ac:dyDescent="0.2">
      <c r="A25" s="288" t="s">
        <v>146</v>
      </c>
      <c r="B25" s="288"/>
      <c r="C25" s="201" t="s">
        <v>141</v>
      </c>
      <c r="E25" s="369" t="s">
        <v>577</v>
      </c>
      <c r="F25" s="369"/>
      <c r="G25" s="369"/>
      <c r="H25" s="369"/>
      <c r="I25" s="369"/>
      <c r="J25" s="199"/>
      <c r="K25" s="230" t="s">
        <v>142</v>
      </c>
      <c r="L25" s="352" t="s">
        <v>143</v>
      </c>
      <c r="M25" s="352"/>
      <c r="N25" s="312" t="s">
        <v>321</v>
      </c>
      <c r="O25" s="312"/>
      <c r="P25" s="233" t="s">
        <v>386</v>
      </c>
      <c r="R25" s="347" t="s">
        <v>387</v>
      </c>
      <c r="S25" s="347"/>
      <c r="U25" s="230"/>
      <c r="V25" s="346"/>
      <c r="W25" s="346"/>
      <c r="X25" s="346"/>
      <c r="Y25" s="346"/>
      <c r="Z25" s="346"/>
      <c r="AA25" s="346"/>
      <c r="AB25" s="346"/>
      <c r="AC25" s="346"/>
    </row>
    <row r="26" spans="1:29" ht="15.95" customHeight="1" x14ac:dyDescent="0.2">
      <c r="A26" s="218"/>
      <c r="B26" s="306" t="str">
        <f>IF(OR(_CamType = "RunCam Night Eagle Astro",_CamType="RunCam Night Eagle"), "Enter 'Y' Value of Star Here ===&gt;", IF(OR(_CamType="Visual",_CamType="Photometer",_CamType="CCD Drift Scan",_CamType="Other - List in Comments",_CamType="QHY 174 GPS",_CamType="Astrid"),"Enter Times in Manually-Corrected Fields"," "))</f>
        <v>Enter Times in Manually-Corrected Fields</v>
      </c>
      <c r="C26" s="306"/>
      <c r="D26" s="306"/>
      <c r="E26" s="306"/>
      <c r="F26" s="306"/>
      <c r="G26" s="306"/>
      <c r="H26" s="234"/>
      <c r="I26" s="235" t="str">
        <f>IF(OR(_CamType = "RunCam Night Eagle Astro",_CamType="RunCam Night Eagle"), "Y-Value for D="," ")</f>
        <v xml:space="preserve"> </v>
      </c>
      <c r="J26" s="269"/>
      <c r="K26" s="236" t="str">
        <f>IF(DATA!J26&lt;0,"Can't be Negative!!",IF(DATA!J26&gt;479,"Too large!!"," "))</f>
        <v xml:space="preserve"> </v>
      </c>
      <c r="O26" s="235" t="str">
        <f>IF(OR(_CamType = "RunCam Night Eagle Astro",_CamType="RunCam Night Eagle"), "Y-Value for R="," ")</f>
        <v xml:space="preserve"> </v>
      </c>
      <c r="P26" s="269"/>
      <c r="Q26" s="236" t="str">
        <f>IF(DATA!P26&lt;0,"Can't be Negative!!",IF(DATA!P26&gt;479,"Too large!!"," "))</f>
        <v xml:space="preserve"> </v>
      </c>
      <c r="S26" s="266"/>
      <c r="T26" s="266"/>
      <c r="U26" s="266"/>
      <c r="V26" s="266"/>
      <c r="Z26" s="267"/>
      <c r="AA26" s="267"/>
      <c r="AB26" s="198"/>
      <c r="AC26" s="268"/>
    </row>
    <row r="27" spans="1:29" ht="15.95" customHeight="1" x14ac:dyDescent="0.2">
      <c r="A27" s="288" t="s">
        <v>41</v>
      </c>
      <c r="B27" s="288"/>
      <c r="C27" s="305"/>
      <c r="D27" s="305"/>
      <c r="E27" s="305"/>
      <c r="F27" s="293" t="s">
        <v>93</v>
      </c>
      <c r="G27" s="293"/>
      <c r="H27" s="295"/>
      <c r="I27" s="295"/>
      <c r="J27" s="295"/>
      <c r="K27" s="295"/>
      <c r="L27" s="203"/>
      <c r="M27" s="293" t="s">
        <v>45</v>
      </c>
      <c r="N27" s="293"/>
      <c r="O27" s="293"/>
      <c r="P27" s="295"/>
      <c r="Q27" s="295"/>
      <c r="R27" s="295"/>
      <c r="S27" s="295"/>
      <c r="T27" s="203"/>
      <c r="U27" s="344" t="s">
        <v>51</v>
      </c>
      <c r="V27" s="344"/>
      <c r="W27" s="344"/>
      <c r="X27" s="330"/>
      <c r="Y27" s="330"/>
      <c r="Z27" s="330"/>
      <c r="AA27" s="330"/>
      <c r="AB27" s="330"/>
      <c r="AC27" s="330"/>
    </row>
    <row r="28" spans="1:29" ht="15.95" customHeight="1" x14ac:dyDescent="0.2">
      <c r="B28" s="237"/>
      <c r="C28" s="199"/>
      <c r="D28" s="239"/>
      <c r="E28" s="199"/>
      <c r="M28" s="238"/>
      <c r="N28" s="238"/>
      <c r="O28" s="238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</row>
    <row r="29" spans="1:29" ht="15.95" customHeight="1" x14ac:dyDescent="0.2">
      <c r="A29" s="288" t="s">
        <v>74</v>
      </c>
      <c r="B29" s="288"/>
      <c r="C29" s="288"/>
      <c r="D29" s="239"/>
      <c r="E29" s="239"/>
      <c r="F29" s="240"/>
      <c r="G29" s="239"/>
      <c r="H29" s="239"/>
      <c r="I29" s="239"/>
      <c r="J29" s="239"/>
      <c r="K29" s="239"/>
      <c r="M29" s="239"/>
      <c r="N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</row>
    <row r="30" spans="1:29" ht="15.95" customHeight="1" x14ac:dyDescent="0.2">
      <c r="B30" s="199"/>
      <c r="C30" s="199"/>
      <c r="D30" s="199"/>
      <c r="E30" s="199"/>
      <c r="F30" s="291" t="s">
        <v>65</v>
      </c>
      <c r="G30" s="291"/>
      <c r="H30" s="291"/>
      <c r="I30" s="291"/>
      <c r="J30" s="291"/>
      <c r="K30" s="291"/>
      <c r="L30" s="199"/>
      <c r="M30" s="199" t="s">
        <v>75</v>
      </c>
      <c r="N30" s="199"/>
      <c r="O30" s="199" t="s">
        <v>76</v>
      </c>
      <c r="P30" s="241" t="s">
        <v>349</v>
      </c>
      <c r="Q30" s="273" t="str">
        <f>IF(LEFT(_CamFormat,1)="A","AAV or ADVS Cameras Apply Manual Camera Delay Correction to Uncorrected Values","")</f>
        <v/>
      </c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</row>
    <row r="31" spans="1:29" ht="15.95" customHeight="1" x14ac:dyDescent="0.2">
      <c r="A31" s="322" t="s">
        <v>52</v>
      </c>
      <c r="B31" s="293"/>
      <c r="C31" s="293"/>
      <c r="D31" s="293"/>
      <c r="E31" s="293"/>
      <c r="F31" s="242"/>
      <c r="G31" s="209"/>
      <c r="H31" s="243"/>
      <c r="I31" s="209"/>
      <c r="J31" s="371"/>
      <c r="K31" s="371"/>
      <c r="L31" s="318" t="s">
        <v>350</v>
      </c>
      <c r="M31" s="318"/>
      <c r="N31" s="318"/>
      <c r="O31" s="373"/>
      <c r="P31" s="300"/>
      <c r="Q31" s="300"/>
      <c r="R31" s="300"/>
      <c r="S31" s="300"/>
      <c r="T31" s="300"/>
      <c r="U31" s="300"/>
      <c r="V31" s="300"/>
      <c r="W31" s="300"/>
      <c r="X31" s="300"/>
      <c r="Y31" s="300"/>
      <c r="Z31" s="300"/>
      <c r="AA31" s="300"/>
      <c r="AB31" s="300"/>
      <c r="AC31" s="300"/>
    </row>
    <row r="32" spans="1:29" ht="15.95" customHeight="1" x14ac:dyDescent="0.2">
      <c r="A32" s="293" t="str">
        <f>IF(OR(_CamType="Flea 3-03S1 with ADVS",_CamType="Flea 3-03S3 with ADVS",_CamType="Flea 3-28S4M with ADVS",_CamType="Grasshopper Express with ADVS",_CamType="G-Star",_CamType="Visual",_CamType="Photometer",_CamType="CCD Drift Scan",_CamType="Other - List in Comments",_CamType="QHY 174 GPS"),"Manually-Corrected Disappearance:","(Uncorrected) Disappearance:")</f>
        <v>(Uncorrected) Disappearance:</v>
      </c>
      <c r="B32" s="304"/>
      <c r="C32" s="304"/>
      <c r="D32" s="304"/>
      <c r="E32" s="304"/>
      <c r="F32" s="244">
        <v>0</v>
      </c>
      <c r="G32" s="209"/>
      <c r="H32" s="245">
        <v>0</v>
      </c>
      <c r="I32" s="209"/>
      <c r="J32" s="314">
        <v>2</v>
      </c>
      <c r="K32" s="314"/>
      <c r="L32" s="319"/>
      <c r="M32" s="319"/>
      <c r="N32" s="319"/>
      <c r="O32" s="374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</row>
    <row r="33" spans="1:30" ht="15.95" customHeight="1" x14ac:dyDescent="0.25">
      <c r="A33" s="303" t="str">
        <f>IF(VLOOKUP(_CamType,_CamExpArrayTable,MATCH(_Exposure,_CamExpArrayHeader,0),0)="x",_CorrD_Name," ")</f>
        <v xml:space="preserve"> </v>
      </c>
      <c r="B33" s="303"/>
      <c r="C33" s="303"/>
      <c r="D33" s="303"/>
      <c r="E33" s="303"/>
      <c r="F33" s="246" t="str">
        <f>IF(VLOOKUP(_CamType,_CamExpArrayTable,MATCH(_Exposure,_CamExpArrayHeader,0),0)="x",_DHr," ")</f>
        <v xml:space="preserve"> </v>
      </c>
      <c r="G33" s="209" t="s">
        <v>69</v>
      </c>
      <c r="H33" s="247" t="str">
        <f>IF(VLOOKUP(_CamType,_CamExpArrayTable,MATCH(_Exposure,_CamExpArrayHeader,0),0)="x",_DMi," ")</f>
        <v xml:space="preserve"> </v>
      </c>
      <c r="I33" s="209" t="s">
        <v>69</v>
      </c>
      <c r="J33" s="321" t="str">
        <f>IF(VLOOKUP(_CamType,_CamExpArrayTable,MATCH(_Exposure,_CamExpArrayHeader,0),0)="x",_DSe," ")</f>
        <v xml:space="preserve"> </v>
      </c>
      <c r="K33" s="321" t="str">
        <f>IF(VLOOKUP(_CamType,_CamExpArrayTable,MATCH(_Exposure,_CamExpArrayHeader,0),0)="x",_CorrD_Name," ")</f>
        <v xml:space="preserve"> </v>
      </c>
      <c r="L33" s="252"/>
      <c r="M33" s="248"/>
      <c r="N33" s="253"/>
      <c r="O33" s="249"/>
      <c r="P33" s="324"/>
      <c r="Q33" s="300"/>
      <c r="R33" s="300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</row>
    <row r="34" spans="1:30" ht="15.95" customHeight="1" x14ac:dyDescent="0.2">
      <c r="A34" s="250" t="str">
        <f>IF(OR(_SMSe=0,J35=" ")," ",IF(OR(_DSe&gt;60,_RSe&gt;60),"Time Too Close to 00:00:00 -- Autocorrection Equations Invalid -- Contact Coordinator to Enter Values Shown to Right in Corrected Fields Manually"," "))</f>
        <v xml:space="preserve"> </v>
      </c>
      <c r="G34" s="209"/>
      <c r="I34" s="209"/>
      <c r="O34" s="251"/>
      <c r="V34" s="230" t="str">
        <f>IF(_SMSe=0," ",IF(_DSe&gt;60,"D="," "))</f>
        <v xml:space="preserve"> </v>
      </c>
      <c r="W34" s="313" t="str">
        <f>IF(_SMSe=0," ",IF(_DSe&gt;60,'Corrections Calculations'!K40," "))</f>
        <v xml:space="preserve"> </v>
      </c>
      <c r="X34" s="313"/>
      <c r="Y34" s="313"/>
      <c r="Z34" s="348" t="str">
        <f>IF(_SMSe=0," ",IF(_RSe&gt;60,"R="," "))</f>
        <v xml:space="preserve"> </v>
      </c>
      <c r="AA34" s="348"/>
      <c r="AB34" s="370" t="str">
        <f>IF(_SMSe=0," ",IF(_RSe&gt;60,'Corrections Calculations'!K54," "))</f>
        <v xml:space="preserve"> </v>
      </c>
      <c r="AC34" s="370"/>
      <c r="AD34" s="370"/>
    </row>
    <row r="35" spans="1:30" ht="15.95" customHeight="1" x14ac:dyDescent="0.25">
      <c r="A35" s="303" t="str">
        <f>IF(VLOOKUP(_CamType,_CamExpArrayTable,MATCH(_Exposure,_CamExpArrayHeader,0),0)="x",_CorrR_Name," ")</f>
        <v xml:space="preserve"> </v>
      </c>
      <c r="B35" s="303"/>
      <c r="C35" s="303"/>
      <c r="D35" s="303"/>
      <c r="E35" s="303"/>
      <c r="F35" s="246" t="str">
        <f>IF(VLOOKUP(_CamType,_CamExpArrayTable,MATCH(_Exposure,_CamExpArrayHeader,0),0)="x",_RHr," ")</f>
        <v xml:space="preserve"> </v>
      </c>
      <c r="G35" s="209" t="s">
        <v>69</v>
      </c>
      <c r="H35" s="247" t="str">
        <f>IF(VLOOKUP(_CamType,_CamExpArrayTable,MATCH(_Exposure,_CamExpArrayHeader,0),0)="x",_RMi," ")</f>
        <v xml:space="preserve"> </v>
      </c>
      <c r="I35" s="209" t="s">
        <v>69</v>
      </c>
      <c r="J35" s="321" t="str">
        <f>IF(VLOOKUP(_CamType,_CamExpArrayTable,MATCH(_Exposure,_CamExpArrayHeader,0),0)="x",_RSe," ")</f>
        <v xml:space="preserve"> </v>
      </c>
      <c r="K35" s="321" t="str">
        <f>IF(VLOOKUP(_CamType,_CamExpArrayTable,MATCH(_Exposure,_CamExpArrayHeader,0),0)="x",_CorrD_Name," ")</f>
        <v xml:space="preserve"> </v>
      </c>
      <c r="L35" s="252"/>
      <c r="M35" s="248"/>
      <c r="N35" s="253"/>
      <c r="O35" s="249"/>
      <c r="P35" s="324"/>
      <c r="Q35" s="300"/>
      <c r="R35" s="300"/>
      <c r="S35" s="300"/>
      <c r="T35" s="300"/>
      <c r="U35" s="300"/>
      <c r="V35" s="300"/>
      <c r="W35" s="300"/>
      <c r="X35" s="300"/>
      <c r="Y35" s="300"/>
      <c r="Z35" s="300"/>
      <c r="AA35" s="300"/>
      <c r="AB35" s="300"/>
      <c r="AC35" s="300"/>
    </row>
    <row r="36" spans="1:30" ht="15.95" customHeight="1" x14ac:dyDescent="0.2">
      <c r="A36" s="293" t="str">
        <f>IF(OR(_CamType="Flea 3-03S1 with ADVS",_CamType="Flea 3-03S3 with ADVS",_CamType="Flea 3-28S4M with ADVS",_CamType="Grasshopper Express with ADVS",_CamType="G-Star",_CamType="Visual",_CamType="Photometer",_CamType="CCD Drift Scan",_CamType="Other - List in Comments",_CamType="QHY 174 GPS"),"Manually-Corrected Reappearance:","(Uncorrected) Reappearance:")</f>
        <v>(Uncorrected) Reappearance:</v>
      </c>
      <c r="B36" s="304"/>
      <c r="C36" s="304"/>
      <c r="D36" s="304"/>
      <c r="E36" s="304"/>
      <c r="F36" s="244">
        <v>0</v>
      </c>
      <c r="G36" s="209" t="s">
        <v>69</v>
      </c>
      <c r="H36" s="245">
        <v>0</v>
      </c>
      <c r="I36" s="209" t="s">
        <v>69</v>
      </c>
      <c r="J36" s="314">
        <v>1</v>
      </c>
      <c r="K36" s="314"/>
      <c r="L36" s="254" t="s">
        <v>346</v>
      </c>
      <c r="M36" s="254" t="s">
        <v>346</v>
      </c>
      <c r="N36" s="254" t="s">
        <v>346</v>
      </c>
      <c r="O36" s="226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</row>
    <row r="37" spans="1:30" ht="15.95" customHeight="1" x14ac:dyDescent="0.2">
      <c r="A37" s="293" t="s">
        <v>66</v>
      </c>
      <c r="B37" s="304"/>
      <c r="C37" s="304"/>
      <c r="D37" s="304"/>
      <c r="E37" s="304"/>
      <c r="F37" s="244"/>
      <c r="G37" s="209" t="s">
        <v>69</v>
      </c>
      <c r="H37" s="245"/>
      <c r="I37" s="209" t="s">
        <v>69</v>
      </c>
      <c r="J37" s="325"/>
      <c r="K37" s="325"/>
      <c r="L37" s="315" t="s">
        <v>395</v>
      </c>
      <c r="M37" s="316"/>
      <c r="N37" s="317"/>
      <c r="P37" s="300"/>
      <c r="Q37" s="300"/>
      <c r="R37" s="300"/>
      <c r="S37" s="300"/>
      <c r="T37" s="300"/>
      <c r="U37" s="300"/>
      <c r="V37" s="300"/>
      <c r="W37" s="300"/>
      <c r="X37" s="300"/>
      <c r="Y37" s="300"/>
      <c r="Z37" s="300"/>
      <c r="AA37" s="300"/>
      <c r="AB37" s="300"/>
      <c r="AC37" s="300"/>
    </row>
    <row r="38" spans="1:30" ht="15.95" customHeight="1" x14ac:dyDescent="0.2">
      <c r="B38" s="199"/>
      <c r="C38" s="199"/>
      <c r="D38" s="199"/>
      <c r="E38" s="199"/>
      <c r="F38" s="255" t="s">
        <v>70</v>
      </c>
      <c r="G38" s="199"/>
      <c r="H38" s="256" t="s">
        <v>71</v>
      </c>
      <c r="I38" s="256"/>
      <c r="J38" s="301" t="s">
        <v>79</v>
      </c>
      <c r="K38" s="302"/>
      <c r="L38" s="257">
        <v>0.68300000000000005</v>
      </c>
      <c r="M38" s="258">
        <v>0.95</v>
      </c>
      <c r="N38" s="259">
        <v>0.99729999999999996</v>
      </c>
      <c r="O38" s="260" t="s">
        <v>475</v>
      </c>
      <c r="P38" s="261"/>
      <c r="Q38" s="261"/>
      <c r="R38" s="199"/>
      <c r="S38" s="199"/>
      <c r="T38" s="199"/>
      <c r="U38" s="199"/>
      <c r="W38" s="367" t="s">
        <v>50</v>
      </c>
      <c r="X38" s="352"/>
      <c r="Y38" s="262" t="s">
        <v>138</v>
      </c>
      <c r="Z38" s="222"/>
      <c r="AA38" s="221"/>
    </row>
    <row r="39" spans="1:30" ht="15.95" customHeight="1" x14ac:dyDescent="0.2">
      <c r="B39" s="199"/>
      <c r="C39" s="199"/>
      <c r="D39" s="199"/>
      <c r="E39" s="199"/>
      <c r="F39" s="199"/>
      <c r="G39" s="199"/>
      <c r="H39" s="256"/>
      <c r="I39" s="256"/>
      <c r="J39" s="256"/>
      <c r="K39" s="204"/>
      <c r="L39" s="204"/>
      <c r="M39" s="199"/>
      <c r="N39" s="199"/>
      <c r="O39" s="261"/>
      <c r="P39" s="261"/>
      <c r="Q39" s="261"/>
      <c r="R39" s="199"/>
      <c r="S39" s="199"/>
      <c r="T39" s="199"/>
      <c r="U39" s="199"/>
    </row>
    <row r="40" spans="1:30" ht="15.95" customHeight="1" x14ac:dyDescent="0.2">
      <c r="A40" s="226"/>
      <c r="B40" s="203"/>
      <c r="C40" s="202"/>
      <c r="D40" s="263" t="s">
        <v>50</v>
      </c>
      <c r="E40" s="264" t="s">
        <v>128</v>
      </c>
      <c r="F40" s="372" t="s">
        <v>152</v>
      </c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221"/>
      <c r="R40" s="221"/>
      <c r="S40" s="221"/>
      <c r="T40" s="221"/>
      <c r="U40" s="311" t="s">
        <v>136</v>
      </c>
      <c r="V40" s="312"/>
      <c r="W40" s="323"/>
      <c r="X40" s="323"/>
      <c r="Y40" s="302" t="s">
        <v>137</v>
      </c>
      <c r="Z40" s="310"/>
      <c r="AA40" s="310"/>
      <c r="AB40" s="310"/>
      <c r="AC40" s="310"/>
    </row>
    <row r="41" spans="1:30" ht="15.95" customHeight="1" x14ac:dyDescent="0.2">
      <c r="B41" s="199"/>
      <c r="C41" s="199"/>
      <c r="D41" s="199"/>
      <c r="E41" s="207" t="s">
        <v>129</v>
      </c>
      <c r="F41" s="207"/>
      <c r="G41" s="221"/>
      <c r="H41" s="199"/>
      <c r="I41" s="199"/>
      <c r="J41" s="199"/>
      <c r="K41" s="289"/>
      <c r="L41" s="290"/>
      <c r="M41" s="199"/>
      <c r="N41" s="199"/>
      <c r="O41" s="199"/>
      <c r="P41" s="199"/>
      <c r="Q41" s="199"/>
      <c r="R41" s="199"/>
      <c r="S41" s="205"/>
      <c r="T41" s="199"/>
      <c r="U41" s="199"/>
    </row>
    <row r="42" spans="1:30" ht="24" customHeight="1" x14ac:dyDescent="0.2">
      <c r="A42" s="307" t="s">
        <v>67</v>
      </c>
      <c r="B42" s="307"/>
      <c r="C42" s="307"/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368"/>
      <c r="P42" s="368"/>
      <c r="Q42" s="368"/>
      <c r="R42" s="368"/>
      <c r="S42" s="368"/>
      <c r="T42" s="368"/>
      <c r="U42" s="368"/>
      <c r="V42" s="368"/>
      <c r="W42" s="368"/>
      <c r="X42" s="368"/>
      <c r="Y42" s="368"/>
      <c r="Z42" s="368"/>
      <c r="AA42" s="368"/>
      <c r="AB42" s="368"/>
      <c r="AC42" s="368"/>
    </row>
    <row r="43" spans="1:30" ht="24" customHeight="1" x14ac:dyDescent="0.2">
      <c r="A43" s="307" t="s">
        <v>68</v>
      </c>
      <c r="B43" s="307"/>
      <c r="C43" s="307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8"/>
      <c r="V43" s="368"/>
      <c r="W43" s="368"/>
      <c r="X43" s="368"/>
      <c r="Y43" s="368"/>
      <c r="Z43" s="368"/>
      <c r="AA43" s="368"/>
      <c r="AB43" s="368"/>
      <c r="AC43" s="368"/>
    </row>
    <row r="44" spans="1:30" ht="24" customHeight="1" x14ac:dyDescent="0.2"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368"/>
      <c r="W44" s="368"/>
      <c r="X44" s="368"/>
      <c r="Y44" s="368"/>
      <c r="Z44" s="368"/>
      <c r="AA44" s="368"/>
      <c r="AB44" s="368"/>
      <c r="AC44" s="368"/>
    </row>
    <row r="45" spans="1:30" ht="24" customHeight="1" x14ac:dyDescent="0.2">
      <c r="D45" s="363" t="s">
        <v>322</v>
      </c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6"/>
      <c r="T45" s="366"/>
      <c r="U45" s="366"/>
      <c r="V45" s="366"/>
      <c r="W45" s="366"/>
      <c r="X45" s="366"/>
      <c r="Y45" s="366"/>
      <c r="Z45" s="366"/>
      <c r="AA45" s="366"/>
      <c r="AB45" s="366"/>
      <c r="AC45" s="366"/>
    </row>
    <row r="46" spans="1:30" ht="15.95" customHeight="1" x14ac:dyDescent="0.2">
      <c r="D46" s="364" t="s">
        <v>380</v>
      </c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363"/>
      <c r="Z46" s="363"/>
      <c r="AA46" s="363"/>
      <c r="AB46" s="363"/>
      <c r="AC46" s="363"/>
    </row>
    <row r="47" spans="1:30" ht="15.95" customHeight="1" x14ac:dyDescent="0.2">
      <c r="K47" s="226"/>
      <c r="M47" s="226"/>
      <c r="N47" s="226"/>
      <c r="O47" s="226"/>
      <c r="P47" s="226"/>
      <c r="Q47" s="226"/>
      <c r="R47" s="226"/>
      <c r="S47" s="226"/>
      <c r="T47" s="265"/>
    </row>
    <row r="48" spans="1:30" ht="15.95" customHeight="1" x14ac:dyDescent="0.2"/>
    <row r="49" ht="15.95" customHeight="1" x14ac:dyDescent="0.2"/>
  </sheetData>
  <sheetProtection selectLockedCells="1"/>
  <protectedRanges>
    <protectedRange sqref="A34 K33:K35 H33:J33 H35:J35 F29 I34 G33:G35 F33 F35" name="CorrectedCells"/>
  </protectedRanges>
  <mergeCells count="128">
    <mergeCell ref="A43:C43"/>
    <mergeCell ref="R20:S20"/>
    <mergeCell ref="D46:AC46"/>
    <mergeCell ref="E22:I22"/>
    <mergeCell ref="D45:AC45"/>
    <mergeCell ref="N25:O25"/>
    <mergeCell ref="W38:X38"/>
    <mergeCell ref="D42:AC42"/>
    <mergeCell ref="D44:AC44"/>
    <mergeCell ref="D43:AC43"/>
    <mergeCell ref="X27:AC27"/>
    <mergeCell ref="U27:W27"/>
    <mergeCell ref="E25:I25"/>
    <mergeCell ref="L23:N23"/>
    <mergeCell ref="AB34:AD34"/>
    <mergeCell ref="L25:M25"/>
    <mergeCell ref="P31:AC31"/>
    <mergeCell ref="P32:AC32"/>
    <mergeCell ref="J31:K31"/>
    <mergeCell ref="P27:S27"/>
    <mergeCell ref="F27:G27"/>
    <mergeCell ref="F40:P40"/>
    <mergeCell ref="O31:O32"/>
    <mergeCell ref="P37:AC37"/>
    <mergeCell ref="V25:AC25"/>
    <mergeCell ref="X18:Y18"/>
    <mergeCell ref="R25:S25"/>
    <mergeCell ref="Z34:AA34"/>
    <mergeCell ref="A1:F1"/>
    <mergeCell ref="A2:F2"/>
    <mergeCell ref="A3:F3"/>
    <mergeCell ref="S6:V6"/>
    <mergeCell ref="P5:R5"/>
    <mergeCell ref="G1:V1"/>
    <mergeCell ref="T5:X5"/>
    <mergeCell ref="B5:C5"/>
    <mergeCell ref="N5:O5"/>
    <mergeCell ref="D5:E5"/>
    <mergeCell ref="K5:L5"/>
    <mergeCell ref="J2:T2"/>
    <mergeCell ref="Z3:AC3"/>
    <mergeCell ref="H5:J5"/>
    <mergeCell ref="X6:AC6"/>
    <mergeCell ref="E17:H17"/>
    <mergeCell ref="P11:R11"/>
    <mergeCell ref="D11:O11"/>
    <mergeCell ref="S13:AC13"/>
    <mergeCell ref="P13:R13"/>
    <mergeCell ref="D9:O9"/>
    <mergeCell ref="H7:J7"/>
    <mergeCell ref="P9:R9"/>
    <mergeCell ref="Z2:AC2"/>
    <mergeCell ref="P7:R7"/>
    <mergeCell ref="S9:AC9"/>
    <mergeCell ref="E7:F7"/>
    <mergeCell ref="S11:AC11"/>
    <mergeCell ref="E14:O14"/>
    <mergeCell ref="T20:X20"/>
    <mergeCell ref="E10:O10"/>
    <mergeCell ref="S7:V7"/>
    <mergeCell ref="M22:N22"/>
    <mergeCell ref="C18:D18"/>
    <mergeCell ref="J20:K20"/>
    <mergeCell ref="E21:F21"/>
    <mergeCell ref="X7:AC7"/>
    <mergeCell ref="A9:C9"/>
    <mergeCell ref="E8:O8"/>
    <mergeCell ref="K7:O7"/>
    <mergeCell ref="N18:P18"/>
    <mergeCell ref="A7:C7"/>
    <mergeCell ref="A11:C11"/>
    <mergeCell ref="N17:P17"/>
    <mergeCell ref="E12:O12"/>
    <mergeCell ref="D13:O13"/>
    <mergeCell ref="A13:C13"/>
    <mergeCell ref="T18:U18"/>
    <mergeCell ref="L18:M18"/>
    <mergeCell ref="S15:AC15"/>
    <mergeCell ref="O22:T22"/>
    <mergeCell ref="AA18:AC18"/>
    <mergeCell ref="A18:B18"/>
    <mergeCell ref="A42:C42"/>
    <mergeCell ref="E15:R15"/>
    <mergeCell ref="F30:K30"/>
    <mergeCell ref="E18:H18"/>
    <mergeCell ref="A15:D15"/>
    <mergeCell ref="Y40:AC40"/>
    <mergeCell ref="U40:V40"/>
    <mergeCell ref="W34:Y34"/>
    <mergeCell ref="J32:K32"/>
    <mergeCell ref="L37:N37"/>
    <mergeCell ref="L31:N32"/>
    <mergeCell ref="E20:F20"/>
    <mergeCell ref="A20:B20"/>
    <mergeCell ref="J35:K35"/>
    <mergeCell ref="J33:K33"/>
    <mergeCell ref="M27:O27"/>
    <mergeCell ref="A31:E31"/>
    <mergeCell ref="W40:X40"/>
    <mergeCell ref="P33:AC33"/>
    <mergeCell ref="J37:K37"/>
    <mergeCell ref="P35:AC35"/>
    <mergeCell ref="A37:E37"/>
    <mergeCell ref="H27:K27"/>
    <mergeCell ref="A25:B25"/>
    <mergeCell ref="A27:B27"/>
    <mergeCell ref="K41:L41"/>
    <mergeCell ref="O21:V21"/>
    <mergeCell ref="C20:D20"/>
    <mergeCell ref="T19:AC19"/>
    <mergeCell ref="A21:B21"/>
    <mergeCell ref="M20:O20"/>
    <mergeCell ref="U22:Z22"/>
    <mergeCell ref="A22:B22"/>
    <mergeCell ref="AA22:AC22"/>
    <mergeCell ref="A23:B23"/>
    <mergeCell ref="E23:I23"/>
    <mergeCell ref="O23:T23"/>
    <mergeCell ref="P36:AC36"/>
    <mergeCell ref="J38:K38"/>
    <mergeCell ref="A35:E35"/>
    <mergeCell ref="A36:E36"/>
    <mergeCell ref="C27:E27"/>
    <mergeCell ref="A33:E33"/>
    <mergeCell ref="A32:E32"/>
    <mergeCell ref="A29:C29"/>
    <mergeCell ref="B26:G26"/>
    <mergeCell ref="J36:K36"/>
  </mergeCells>
  <phoneticPr fontId="2" type="noConversion"/>
  <conditionalFormatting sqref="A2:F2">
    <cfRule type="expression" dxfId="16" priority="10" stopIfTrue="1">
      <formula>$A$2="Unsure"</formula>
    </cfRule>
    <cfRule type="expression" dxfId="15" priority="11" stopIfTrue="1">
      <formula>$A$2="Positive"</formula>
    </cfRule>
  </conditionalFormatting>
  <conditionalFormatting sqref="J26">
    <cfRule type="expression" dxfId="14" priority="2">
      <formula>_CamType = "RunCam Night Eagle"</formula>
    </cfRule>
    <cfRule type="expression" dxfId="13" priority="4">
      <formula>_CamType = "RunCam Night Eagle Astro"</formula>
    </cfRule>
  </conditionalFormatting>
  <conditionalFormatting sqref="P26">
    <cfRule type="expression" dxfId="12" priority="1">
      <formula xml:space="preserve"> _CamType = "RunCam Night Eagle"</formula>
    </cfRule>
    <cfRule type="expression" dxfId="11" priority="3">
      <formula>_CamType = "RunCam Night Eagle Astro"</formula>
    </cfRule>
  </conditionalFormatting>
  <dataValidations xWindow="948" yWindow="464" count="37">
    <dataValidation type="list" allowBlank="1" showInputMessage="1" showErrorMessage="1" sqref="AA22" xr:uid="{00000000-0002-0000-0200-000000000000}">
      <formula1>YesNo</formula1>
    </dataValidation>
    <dataValidation allowBlank="1" showInputMessage="1" sqref="B26" xr:uid="{00000000-0002-0000-0200-000001000000}"/>
    <dataValidation type="list" allowBlank="1" showInputMessage="1" showErrorMessage="1" sqref="W38 D40" xr:uid="{00000000-0002-0000-0200-000002000000}">
      <formula1>Miss</formula1>
    </dataValidation>
    <dataValidation type="list" allowBlank="1" showInputMessage="1" showErrorMessage="1" sqref="H27:K27" xr:uid="{00000000-0002-0000-0200-000003000000}">
      <formula1>Clouds</formula1>
    </dataValidation>
    <dataValidation type="whole" allowBlank="1" showInputMessage="1" showErrorMessage="1" error="0 to 24" sqref="Y5 F36:F37 F31:F32" xr:uid="{00000000-0002-0000-0200-000004000000}">
      <formula1>0</formula1>
      <formula2>24</formula2>
    </dataValidation>
    <dataValidation type="whole" allowBlank="1" showInputMessage="1" showErrorMessage="1" error="0 to 59" sqref="AA5 H36:H37 H31:H32" xr:uid="{00000000-0002-0000-0200-000005000000}">
      <formula1>0</formula1>
      <formula2>59</formula2>
    </dataValidation>
    <dataValidation type="textLength" allowBlank="1" showInputMessage="1" showErrorMessage="1" error="Maximum 511 characters on each line" sqref="D42:D44" xr:uid="{00000000-0002-0000-0200-000006000000}">
      <formula1>0</formula1>
      <formula2>511</formula2>
    </dataValidation>
    <dataValidation type="textLength" operator="greaterThanOrEqual" allowBlank="1" showInputMessage="1" showErrorMessage="1" promptTitle="Other Conditions" prompt="Any other note on conditons that may be relevant" sqref="X27:AC27" xr:uid="{00000000-0002-0000-0200-000007000000}">
      <formula1>1</formula1>
    </dataValidation>
    <dataValidation type="list" allowBlank="1" showInputMessage="1" showErrorMessage="1" sqref="E23:I23" xr:uid="{00000000-0002-0000-0200-000008000000}">
      <formula1>Timer2</formula1>
    </dataValidation>
    <dataValidation type="list" allowBlank="1" showInputMessage="1" showErrorMessage="1" sqref="T20" xr:uid="{00000000-0002-0000-0200-000009000000}">
      <formula1>Telescope</formula1>
    </dataValidation>
    <dataValidation type="list" allowBlank="1" showInputMessage="1" showErrorMessage="1" sqref="R18" xr:uid="{00000000-0002-0000-0200-00000A000000}">
      <formula1>Longitude</formula1>
    </dataValidation>
    <dataValidation type="list" allowBlank="1" showInputMessage="1" showErrorMessage="1" sqref="O22" xr:uid="{00000000-0002-0000-0200-00000B000000}">
      <formula1>Method</formula1>
    </dataValidation>
    <dataValidation type="list" allowBlank="1" showInputMessage="1" showErrorMessage="1" sqref="W18" xr:uid="{00000000-0002-0000-0200-00000C000000}">
      <formula1>Altitude</formula1>
    </dataValidation>
    <dataValidation type="list" allowBlank="1" showInputMessage="1" showErrorMessage="1" sqref="AA18:AC18" xr:uid="{00000000-0002-0000-0200-00000D000000}">
      <formula1>Datum</formula1>
    </dataValidation>
    <dataValidation type="list" allowBlank="1" showInputMessage="1" showErrorMessage="1" sqref="K5:L5" xr:uid="{00000000-0002-0000-0200-00000E000000}">
      <formula1>Months</formula1>
    </dataValidation>
    <dataValidation type="list" allowBlank="1" showInputMessage="1" showErrorMessage="1" sqref="E17:H17 N17:P17" xr:uid="{00000000-0002-0000-0200-00000F000000}">
      <formula1>DegMinSec</formula1>
    </dataValidation>
    <dataValidation type="list" allowBlank="1" showInputMessage="1" showErrorMessage="1" sqref="J18" xr:uid="{00000000-0002-0000-0200-000010000000}">
      <formula1>Latitude</formula1>
    </dataValidation>
    <dataValidation type="list" allowBlank="1" showInputMessage="1" showErrorMessage="1" sqref="J22:K22 D22:E22" xr:uid="{00000000-0002-0000-0200-000011000000}">
      <formula1>Timing</formula1>
    </dataValidation>
    <dataValidation type="list" allowBlank="1" showInputMessage="1" showErrorMessage="1" sqref="H20" xr:uid="{00000000-0002-0000-0200-000012000000}">
      <formula1>InchCm</formula1>
    </dataValidation>
    <dataValidation type="list" allowBlank="1" showInputMessage="1" showErrorMessage="1" sqref="S7:T7" xr:uid="{00000000-0002-0000-0200-000013000000}">
      <formula1>Star</formula1>
    </dataValidation>
    <dataValidation type="list" allowBlank="1" showInputMessage="1" showErrorMessage="1" sqref="A2:D2" xr:uid="{00000000-0002-0000-0200-000014000000}">
      <formula1>Results</formula1>
    </dataValidation>
    <dataValidation type="whole" allowBlank="1" showInputMessage="1" showErrorMessage="1" error="1 to 31" sqref="P5:R5" xr:uid="{00000000-0002-0000-0200-000015000000}">
      <formula1>1</formula1>
      <formula2>31</formula2>
    </dataValidation>
    <dataValidation type="decimal" allowBlank="1" showInputMessage="1" showErrorMessage="1" error="0 to 59.99" sqref="AC5" xr:uid="{00000000-0002-0000-0200-000016000000}">
      <formula1>0</formula1>
      <formula2>59.999</formula2>
    </dataValidation>
    <dataValidation type="decimal" allowBlank="1" showInputMessage="1" showErrorMessage="1" error="-500 to 30000" sqref="V18" xr:uid="{00000000-0002-0000-0200-000017000000}">
      <formula1>-500</formula1>
      <formula2>30000</formula2>
    </dataValidation>
    <dataValidation type="decimal" allowBlank="1" showInputMessage="1" showErrorMessage="1" error="Number please  1 to 9999" sqref="E20:F20" xr:uid="{00000000-0002-0000-0200-000018000000}">
      <formula1>1</formula1>
      <formula2>9999</formula2>
    </dataValidation>
    <dataValidation type="decimal" allowBlank="1" showInputMessage="1" showErrorMessage="1" error="Number please 0 to 999_x000a__x000a_" sqref="P20" xr:uid="{00000000-0002-0000-0200-000019000000}">
      <formula1>0</formula1>
      <formula2>999</formula2>
    </dataValidation>
    <dataValidation type="decimal" allowBlank="1" showInputMessage="1" showErrorMessage="1" error="0 to 999" sqref="L20" xr:uid="{00000000-0002-0000-0200-00001A000000}">
      <formula1>0</formula1>
      <formula2>999</formula2>
    </dataValidation>
    <dataValidation type="list" allowBlank="1" showInputMessage="1" showErrorMessage="1" sqref="E25:I25" xr:uid="{00000000-0002-0000-0200-00001B000000}">
      <formula1>Detector</formula1>
    </dataValidation>
    <dataValidation type="list" allowBlank="1" showInputMessage="1" showErrorMessage="1" sqref="L25:M25" xr:uid="{00000000-0002-0000-0200-00001C000000}">
      <formula1>Format2</formula1>
    </dataValidation>
    <dataValidation allowBlank="1" showInputMessage="1" showErrorMessage="1" promptTitle="Other information" prompt="eg Filter type or special settings" sqref="V25:AC25" xr:uid="{00000000-0002-0000-0200-00001D000000}"/>
    <dataValidation type="list" allowBlank="1" showInputMessage="1" showErrorMessage="1" sqref="P8" xr:uid="{00000000-0002-0000-0200-00001E000000}">
      <formula1>"Yes,No"</formula1>
    </dataValidation>
    <dataValidation type="decimal" operator="greaterThan" allowBlank="1" showInputMessage="1" showErrorMessage="1" sqref="W40:X40" xr:uid="{00000000-0002-0000-0200-00001F000000}">
      <formula1>0</formula1>
    </dataValidation>
    <dataValidation type="decimal" allowBlank="1" showInputMessage="1" showErrorMessage="1" error="0 to 59.999" sqref="J31:K32 J36:K37" xr:uid="{00000000-0002-0000-0200-000020000000}">
      <formula1>0</formula1>
      <formula2>59.9999</formula2>
    </dataValidation>
    <dataValidation type="decimal" allowBlank="1" showInputMessage="1" showErrorMessage="1" error="Number please" sqref="L35:O35 L33:O33" xr:uid="{00000000-0002-0000-0200-000021000000}">
      <formula1>0</formula1>
      <formula2>99</formula2>
    </dataValidation>
    <dataValidation type="list" allowBlank="1" showInputMessage="1" showErrorMessage="1" sqref="O23:T23" xr:uid="{00000000-0002-0000-0200-000022000000}">
      <formula1>OTA</formula1>
    </dataValidation>
    <dataValidation type="list" allowBlank="1" showInputMessage="1" showErrorMessage="1" sqref="P27:S27" xr:uid="{00000000-0002-0000-0200-000023000000}">
      <formula1>Stability</formula1>
    </dataValidation>
    <dataValidation type="list" allowBlank="1" showInputMessage="1" showErrorMessage="1" sqref="P25" xr:uid="{00000000-0002-0000-0200-000024000000}">
      <formula1>_ExpDropDownList</formula1>
    </dataValidation>
  </dataValidations>
  <printOptions horizontalCentered="1" verticalCentered="1"/>
  <pageMargins left="0.25" right="0.25" top="0.25" bottom="0.25" header="0.5" footer="0.5"/>
  <pageSetup scale="75" orientation="landscape" r:id="rId1"/>
  <headerFooter alignWithMargins="0">
    <oddFooter>&amp;L&amp;D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100"/>
  <sheetViews>
    <sheetView topLeftCell="A51" workbookViewId="0">
      <selection activeCell="B63" sqref="B63"/>
    </sheetView>
  </sheetViews>
  <sheetFormatPr defaultRowHeight="12.75" x14ac:dyDescent="0.2"/>
  <cols>
    <col min="1" max="1" width="33.85546875" customWidth="1"/>
    <col min="2" max="2" width="29.140625" bestFit="1" customWidth="1"/>
    <col min="3" max="3" width="11.7109375" bestFit="1" customWidth="1"/>
    <col min="4" max="4" width="14.7109375" bestFit="1" customWidth="1"/>
    <col min="5" max="5" width="16.5703125" customWidth="1"/>
    <col min="6" max="6" width="26.7109375" customWidth="1"/>
    <col min="9" max="9" width="6.28515625" customWidth="1"/>
    <col min="10" max="10" width="10.5703125" customWidth="1"/>
    <col min="11" max="11" width="9.7109375" customWidth="1"/>
    <col min="12" max="12" width="8.140625" customWidth="1"/>
  </cols>
  <sheetData>
    <row r="1" spans="1:8" x14ac:dyDescent="0.2">
      <c r="A1" t="s">
        <v>96</v>
      </c>
      <c r="F1" t="s">
        <v>36</v>
      </c>
    </row>
    <row r="2" spans="1:8" x14ac:dyDescent="0.2">
      <c r="A2" s="119" t="s">
        <v>493</v>
      </c>
      <c r="B2" s="129" t="s">
        <v>116</v>
      </c>
      <c r="F2" t="s">
        <v>37</v>
      </c>
    </row>
    <row r="3" spans="1:8" x14ac:dyDescent="0.2">
      <c r="A3" t="s">
        <v>97</v>
      </c>
      <c r="B3" s="116" t="s">
        <v>386</v>
      </c>
      <c r="F3" t="s">
        <v>38</v>
      </c>
    </row>
    <row r="4" spans="1:8" x14ac:dyDescent="0.2">
      <c r="A4" t="s">
        <v>140</v>
      </c>
      <c r="B4" s="117" t="s">
        <v>278</v>
      </c>
      <c r="F4" t="s">
        <v>39</v>
      </c>
    </row>
    <row r="5" spans="1:8" x14ac:dyDescent="0.2">
      <c r="A5" t="s">
        <v>150</v>
      </c>
      <c r="B5" s="117" t="s">
        <v>279</v>
      </c>
      <c r="F5" t="s">
        <v>40</v>
      </c>
    </row>
    <row r="6" spans="1:8" x14ac:dyDescent="0.2">
      <c r="A6" s="119" t="s">
        <v>576</v>
      </c>
      <c r="B6" s="117" t="s">
        <v>289</v>
      </c>
    </row>
    <row r="7" spans="1:8" x14ac:dyDescent="0.2">
      <c r="A7" t="s">
        <v>318</v>
      </c>
      <c r="B7" s="117" t="s">
        <v>280</v>
      </c>
      <c r="F7" t="s">
        <v>116</v>
      </c>
    </row>
    <row r="8" spans="1:8" x14ac:dyDescent="0.2">
      <c r="A8" t="s">
        <v>132</v>
      </c>
      <c r="B8" s="117" t="s">
        <v>303</v>
      </c>
    </row>
    <row r="9" spans="1:8" x14ac:dyDescent="0.2">
      <c r="A9" t="s">
        <v>133</v>
      </c>
      <c r="B9" s="117" t="s">
        <v>290</v>
      </c>
      <c r="C9" t="s">
        <v>15</v>
      </c>
      <c r="E9" t="s">
        <v>6</v>
      </c>
      <c r="G9" t="s">
        <v>18</v>
      </c>
      <c r="H9" t="s">
        <v>62</v>
      </c>
    </row>
    <row r="10" spans="1:8" x14ac:dyDescent="0.2">
      <c r="B10" s="117" t="s">
        <v>304</v>
      </c>
      <c r="C10" t="s">
        <v>16</v>
      </c>
      <c r="E10" t="s">
        <v>17</v>
      </c>
      <c r="G10" t="s">
        <v>19</v>
      </c>
      <c r="H10" t="s">
        <v>63</v>
      </c>
    </row>
    <row r="11" spans="1:8" x14ac:dyDescent="0.2">
      <c r="B11" s="117" t="s">
        <v>281</v>
      </c>
    </row>
    <row r="12" spans="1:8" x14ac:dyDescent="0.2">
      <c r="A12" s="3" t="s">
        <v>110</v>
      </c>
      <c r="B12" s="117" t="s">
        <v>291</v>
      </c>
    </row>
    <row r="13" spans="1:8" x14ac:dyDescent="0.2">
      <c r="A13" s="4" t="s">
        <v>111</v>
      </c>
      <c r="B13" s="117" t="s">
        <v>282</v>
      </c>
    </row>
    <row r="14" spans="1:8" x14ac:dyDescent="0.2">
      <c r="A14" t="s">
        <v>130</v>
      </c>
      <c r="B14" s="116" t="s">
        <v>292</v>
      </c>
    </row>
    <row r="15" spans="1:8" x14ac:dyDescent="0.2">
      <c r="B15" s="117" t="s">
        <v>283</v>
      </c>
    </row>
    <row r="16" spans="1:8" x14ac:dyDescent="0.2">
      <c r="B16" s="116" t="s">
        <v>293</v>
      </c>
    </row>
    <row r="17" spans="1:8" x14ac:dyDescent="0.2">
      <c r="B17" s="117" t="s">
        <v>284</v>
      </c>
      <c r="C17" t="s">
        <v>49</v>
      </c>
      <c r="F17" t="s">
        <v>28</v>
      </c>
      <c r="H17" t="s">
        <v>42</v>
      </c>
    </row>
    <row r="18" spans="1:8" x14ac:dyDescent="0.2">
      <c r="B18" s="117" t="s">
        <v>285</v>
      </c>
      <c r="C18" t="s">
        <v>50</v>
      </c>
      <c r="F18" t="s">
        <v>29</v>
      </c>
      <c r="H18" t="s">
        <v>43</v>
      </c>
    </row>
    <row r="19" spans="1:8" x14ac:dyDescent="0.2">
      <c r="B19" s="118" t="s">
        <v>305</v>
      </c>
      <c r="F19" t="s">
        <v>30</v>
      </c>
      <c r="H19" t="s">
        <v>44</v>
      </c>
    </row>
    <row r="20" spans="1:8" x14ac:dyDescent="0.2">
      <c r="A20" t="s">
        <v>26</v>
      </c>
      <c r="B20" s="117" t="s">
        <v>390</v>
      </c>
      <c r="F20" t="s">
        <v>31</v>
      </c>
    </row>
    <row r="21" spans="1:8" x14ac:dyDescent="0.2">
      <c r="A21" t="s">
        <v>21</v>
      </c>
      <c r="B21" s="116" t="s">
        <v>391</v>
      </c>
      <c r="F21" t="s">
        <v>32</v>
      </c>
    </row>
    <row r="22" spans="1:8" x14ac:dyDescent="0.2">
      <c r="A22" t="s">
        <v>22</v>
      </c>
      <c r="B22" s="116" t="s">
        <v>392</v>
      </c>
      <c r="F22" t="s">
        <v>33</v>
      </c>
    </row>
    <row r="23" spans="1:8" x14ac:dyDescent="0.2">
      <c r="A23" t="s">
        <v>24</v>
      </c>
      <c r="B23" s="270" t="s">
        <v>494</v>
      </c>
      <c r="F23" t="s">
        <v>34</v>
      </c>
    </row>
    <row r="24" spans="1:8" x14ac:dyDescent="0.2">
      <c r="A24" t="s">
        <v>127</v>
      </c>
      <c r="B24" s="29" t="s">
        <v>310</v>
      </c>
      <c r="F24" t="s">
        <v>35</v>
      </c>
    </row>
    <row r="25" spans="1:8" x14ac:dyDescent="0.2">
      <c r="A25" t="s">
        <v>23</v>
      </c>
    </row>
    <row r="26" spans="1:8" x14ac:dyDescent="0.2">
      <c r="A26" t="s">
        <v>25</v>
      </c>
      <c r="F26" t="s">
        <v>46</v>
      </c>
    </row>
    <row r="27" spans="1:8" x14ac:dyDescent="0.2">
      <c r="A27" t="s">
        <v>14</v>
      </c>
      <c r="C27">
        <f ca="1">YEAR(NOW())-3</f>
        <v>2020</v>
      </c>
      <c r="F27" t="s">
        <v>47</v>
      </c>
    </row>
    <row r="28" spans="1:8" x14ac:dyDescent="0.2">
      <c r="C28">
        <f t="shared" ref="C28:C35" ca="1" si="0">C27+1</f>
        <v>2021</v>
      </c>
      <c r="F28" t="s">
        <v>48</v>
      </c>
    </row>
    <row r="29" spans="1:8" x14ac:dyDescent="0.2">
      <c r="C29">
        <f t="shared" ca="1" si="0"/>
        <v>2022</v>
      </c>
      <c r="F29" t="s">
        <v>72</v>
      </c>
    </row>
    <row r="30" spans="1:8" x14ac:dyDescent="0.2">
      <c r="A30" s="1" t="s">
        <v>372</v>
      </c>
      <c r="C30">
        <f t="shared" ca="1" si="0"/>
        <v>2023</v>
      </c>
    </row>
    <row r="31" spans="1:8" x14ac:dyDescent="0.2">
      <c r="A31" s="1" t="s">
        <v>373</v>
      </c>
      <c r="C31">
        <f t="shared" ca="1" si="0"/>
        <v>2024</v>
      </c>
    </row>
    <row r="32" spans="1:8" x14ac:dyDescent="0.2">
      <c r="A32" s="1" t="s">
        <v>374</v>
      </c>
      <c r="C32">
        <f t="shared" ca="1" si="0"/>
        <v>2025</v>
      </c>
    </row>
    <row r="33" spans="1:6" x14ac:dyDescent="0.2">
      <c r="A33" s="1" t="s">
        <v>368</v>
      </c>
      <c r="C33">
        <f t="shared" ca="1" si="0"/>
        <v>2026</v>
      </c>
      <c r="F33" t="s">
        <v>117</v>
      </c>
    </row>
    <row r="34" spans="1:6" x14ac:dyDescent="0.2">
      <c r="A34" s="1" t="s">
        <v>369</v>
      </c>
      <c r="C34">
        <f t="shared" ca="1" si="0"/>
        <v>2027</v>
      </c>
      <c r="F34" t="s">
        <v>118</v>
      </c>
    </row>
    <row r="35" spans="1:6" x14ac:dyDescent="0.2">
      <c r="A35" s="1" t="s">
        <v>370</v>
      </c>
      <c r="C35">
        <f t="shared" ca="1" si="0"/>
        <v>2028</v>
      </c>
      <c r="F35" t="s">
        <v>119</v>
      </c>
    </row>
    <row r="36" spans="1:6" x14ac:dyDescent="0.2">
      <c r="A36" s="1" t="s">
        <v>371</v>
      </c>
    </row>
    <row r="37" spans="1:6" x14ac:dyDescent="0.2">
      <c r="A37" s="1" t="s">
        <v>375</v>
      </c>
      <c r="D37" s="5" t="s">
        <v>49</v>
      </c>
      <c r="F37" t="s">
        <v>83</v>
      </c>
    </row>
    <row r="38" spans="1:6" x14ac:dyDescent="0.2">
      <c r="A38" s="1" t="s">
        <v>376</v>
      </c>
      <c r="D38" s="5" t="s">
        <v>50</v>
      </c>
      <c r="F38" t="s">
        <v>84</v>
      </c>
    </row>
    <row r="39" spans="1:6" x14ac:dyDescent="0.2">
      <c r="A39" s="1" t="s">
        <v>377</v>
      </c>
      <c r="D39" s="5" t="s">
        <v>131</v>
      </c>
      <c r="F39" t="s">
        <v>85</v>
      </c>
    </row>
    <row r="40" spans="1:6" x14ac:dyDescent="0.2">
      <c r="A40" s="1" t="s">
        <v>378</v>
      </c>
      <c r="F40" t="s">
        <v>86</v>
      </c>
    </row>
    <row r="41" spans="1:6" ht="13.5" thickBot="1" x14ac:dyDescent="0.25">
      <c r="A41" s="1" t="s">
        <v>379</v>
      </c>
      <c r="F41" t="s">
        <v>87</v>
      </c>
    </row>
    <row r="42" spans="1:6" x14ac:dyDescent="0.2">
      <c r="B42" s="20">
        <v>0</v>
      </c>
      <c r="F42" t="s">
        <v>88</v>
      </c>
    </row>
    <row r="43" spans="1:6" x14ac:dyDescent="0.2">
      <c r="A43" t="s">
        <v>77</v>
      </c>
      <c r="B43" s="21">
        <v>1</v>
      </c>
      <c r="F43" t="s">
        <v>89</v>
      </c>
    </row>
    <row r="44" spans="1:6" x14ac:dyDescent="0.2">
      <c r="A44" t="s">
        <v>314</v>
      </c>
      <c r="B44" s="21">
        <v>1</v>
      </c>
    </row>
    <row r="45" spans="1:6" x14ac:dyDescent="0.2">
      <c r="A45" t="s">
        <v>315</v>
      </c>
      <c r="B45" s="21">
        <v>1</v>
      </c>
    </row>
    <row r="46" spans="1:6" x14ac:dyDescent="0.2">
      <c r="A46" t="s">
        <v>316</v>
      </c>
      <c r="B46" s="21">
        <v>1</v>
      </c>
    </row>
    <row r="47" spans="1:6" x14ac:dyDescent="0.2">
      <c r="A47" t="s">
        <v>81</v>
      </c>
      <c r="B47" s="21">
        <v>2</v>
      </c>
    </row>
    <row r="48" spans="1:6" x14ac:dyDescent="0.2">
      <c r="A48" t="s">
        <v>154</v>
      </c>
      <c r="B48" s="21">
        <v>3</v>
      </c>
      <c r="F48" t="s">
        <v>90</v>
      </c>
    </row>
    <row r="49" spans="1:8" x14ac:dyDescent="0.2">
      <c r="A49" t="s">
        <v>313</v>
      </c>
      <c r="B49" s="21">
        <v>4</v>
      </c>
      <c r="F49" t="s">
        <v>91</v>
      </c>
    </row>
    <row r="50" spans="1:8" x14ac:dyDescent="0.2">
      <c r="A50" t="s">
        <v>78</v>
      </c>
      <c r="B50" s="21">
        <v>5</v>
      </c>
      <c r="F50" t="s">
        <v>92</v>
      </c>
    </row>
    <row r="51" spans="1:8" ht="13.5" thickBot="1" x14ac:dyDescent="0.25">
      <c r="B51" s="22" t="s">
        <v>162</v>
      </c>
    </row>
    <row r="52" spans="1:8" x14ac:dyDescent="0.2">
      <c r="A52" s="1" t="s">
        <v>11</v>
      </c>
    </row>
    <row r="53" spans="1:8" x14ac:dyDescent="0.2">
      <c r="A53" t="s">
        <v>106</v>
      </c>
    </row>
    <row r="54" spans="1:8" x14ac:dyDescent="0.2">
      <c r="A54" t="s">
        <v>12</v>
      </c>
    </row>
    <row r="55" spans="1:8" x14ac:dyDescent="0.2">
      <c r="A55" t="s">
        <v>13</v>
      </c>
    </row>
    <row r="56" spans="1:8" x14ac:dyDescent="0.2">
      <c r="A56" t="s">
        <v>100</v>
      </c>
    </row>
    <row r="57" spans="1:8" x14ac:dyDescent="0.2">
      <c r="A57" t="s">
        <v>101</v>
      </c>
    </row>
    <row r="58" spans="1:8" x14ac:dyDescent="0.2">
      <c r="A58" t="s">
        <v>102</v>
      </c>
      <c r="E58" t="s">
        <v>144</v>
      </c>
      <c r="F58" t="s">
        <v>143</v>
      </c>
      <c r="G58" t="s">
        <v>116</v>
      </c>
    </row>
    <row r="60" spans="1:8" x14ac:dyDescent="0.2">
      <c r="A60" s="119" t="s">
        <v>492</v>
      </c>
      <c r="C60" s="29"/>
      <c r="D60" s="29"/>
      <c r="E60" s="29" t="s">
        <v>224</v>
      </c>
      <c r="F60" s="29" t="s">
        <v>145</v>
      </c>
      <c r="G60" s="29"/>
      <c r="H60" s="29"/>
    </row>
    <row r="61" spans="1:8" x14ac:dyDescent="0.2">
      <c r="A61" s="30" t="s">
        <v>199</v>
      </c>
      <c r="B61" s="108" t="s">
        <v>446</v>
      </c>
      <c r="E61" s="29" t="s">
        <v>227</v>
      </c>
      <c r="F61" s="29" t="s">
        <v>200</v>
      </c>
      <c r="G61" s="29"/>
      <c r="H61" s="29"/>
    </row>
    <row r="62" spans="1:8" x14ac:dyDescent="0.2">
      <c r="A62" s="108" t="s">
        <v>445</v>
      </c>
      <c r="B62" t="s">
        <v>577</v>
      </c>
      <c r="E62" s="29" t="s">
        <v>211</v>
      </c>
      <c r="F62" s="29" t="s">
        <v>204</v>
      </c>
      <c r="G62" s="29"/>
      <c r="H62" s="29"/>
    </row>
    <row r="63" spans="1:8" x14ac:dyDescent="0.2">
      <c r="A63" s="30" t="s">
        <v>203</v>
      </c>
      <c r="B63" s="29" t="s">
        <v>246</v>
      </c>
      <c r="E63" s="29" t="s">
        <v>220</v>
      </c>
      <c r="F63" s="29" t="s">
        <v>311</v>
      </c>
      <c r="G63" s="29"/>
      <c r="H63" s="29"/>
    </row>
    <row r="64" spans="1:8" x14ac:dyDescent="0.2">
      <c r="A64" s="108" t="s">
        <v>398</v>
      </c>
      <c r="B64" s="29" t="s">
        <v>247</v>
      </c>
      <c r="E64" s="29" t="s">
        <v>574</v>
      </c>
      <c r="F64" s="30" t="s">
        <v>116</v>
      </c>
      <c r="G64" s="29"/>
      <c r="H64" s="29"/>
    </row>
    <row r="65" spans="1:8" x14ac:dyDescent="0.2">
      <c r="A65" s="108" t="s">
        <v>399</v>
      </c>
      <c r="B65" s="29" t="s">
        <v>249</v>
      </c>
      <c r="E65" s="29" t="s">
        <v>143</v>
      </c>
      <c r="F65" s="29"/>
      <c r="G65" s="29"/>
      <c r="H65" s="29"/>
    </row>
    <row r="66" spans="1:8" x14ac:dyDescent="0.2">
      <c r="A66" s="108" t="s">
        <v>401</v>
      </c>
      <c r="B66" s="29" t="s">
        <v>250</v>
      </c>
      <c r="E66" s="29" t="s">
        <v>144</v>
      </c>
    </row>
    <row r="67" spans="1:8" x14ac:dyDescent="0.2">
      <c r="A67" s="29" t="s">
        <v>206</v>
      </c>
      <c r="B67" s="29" t="s">
        <v>252</v>
      </c>
    </row>
    <row r="68" spans="1:8" x14ac:dyDescent="0.2">
      <c r="B68" s="29" t="s">
        <v>243</v>
      </c>
    </row>
    <row r="69" spans="1:8" x14ac:dyDescent="0.2">
      <c r="B69" s="29" t="s">
        <v>244</v>
      </c>
    </row>
    <row r="70" spans="1:8" x14ac:dyDescent="0.2">
      <c r="A70" t="s">
        <v>329</v>
      </c>
      <c r="B70" s="29" t="s">
        <v>238</v>
      </c>
    </row>
    <row r="71" spans="1:8" x14ac:dyDescent="0.2">
      <c r="A71" t="s">
        <v>339</v>
      </c>
      <c r="B71" s="30" t="s">
        <v>236</v>
      </c>
    </row>
    <row r="72" spans="1:8" x14ac:dyDescent="0.2">
      <c r="A72" t="s">
        <v>340</v>
      </c>
      <c r="B72" s="29" t="s">
        <v>223</v>
      </c>
      <c r="C72" s="29"/>
      <c r="D72" s="29"/>
      <c r="E72" s="29"/>
    </row>
    <row r="73" spans="1:8" x14ac:dyDescent="0.2">
      <c r="B73" s="29" t="s">
        <v>225</v>
      </c>
      <c r="C73" s="29"/>
      <c r="D73" s="29"/>
      <c r="E73" s="29"/>
    </row>
    <row r="74" spans="1:8" x14ac:dyDescent="0.2">
      <c r="B74" s="29" t="s">
        <v>221</v>
      </c>
      <c r="C74" s="29"/>
      <c r="D74" s="29"/>
      <c r="E74" s="29"/>
    </row>
    <row r="75" spans="1:8" x14ac:dyDescent="0.2">
      <c r="B75" s="29" t="s">
        <v>219</v>
      </c>
      <c r="C75" s="29"/>
      <c r="D75" s="29"/>
      <c r="E75" s="29"/>
    </row>
    <row r="76" spans="1:8" x14ac:dyDescent="0.2">
      <c r="B76" s="108" t="s">
        <v>495</v>
      </c>
      <c r="C76" s="29"/>
      <c r="D76" s="29"/>
      <c r="E76" s="29"/>
    </row>
    <row r="77" spans="1:8" x14ac:dyDescent="0.2">
      <c r="B77" s="29" t="s">
        <v>461</v>
      </c>
      <c r="C77" s="29"/>
      <c r="D77" s="29"/>
      <c r="E77" s="29"/>
    </row>
    <row r="78" spans="1:8" x14ac:dyDescent="0.2">
      <c r="B78" s="29" t="s">
        <v>323</v>
      </c>
      <c r="C78" s="29"/>
      <c r="D78" s="29"/>
      <c r="E78" s="29"/>
    </row>
    <row r="79" spans="1:8" x14ac:dyDescent="0.2">
      <c r="B79" s="29" t="s">
        <v>241</v>
      </c>
      <c r="C79" s="29"/>
      <c r="D79" s="29"/>
      <c r="E79" s="29"/>
    </row>
    <row r="80" spans="1:8" x14ac:dyDescent="0.2">
      <c r="B80" s="29" t="s">
        <v>217</v>
      </c>
      <c r="C80" s="29"/>
      <c r="D80" s="29"/>
      <c r="E80" s="29"/>
    </row>
    <row r="81" spans="2:5" x14ac:dyDescent="0.2">
      <c r="B81" s="30" t="s">
        <v>228</v>
      </c>
      <c r="C81" s="29"/>
      <c r="D81" s="29"/>
      <c r="E81" s="29"/>
    </row>
    <row r="82" spans="2:5" x14ac:dyDescent="0.2">
      <c r="B82" s="29" t="s">
        <v>230</v>
      </c>
      <c r="C82" s="29"/>
      <c r="D82" s="29"/>
      <c r="E82" s="29"/>
    </row>
    <row r="83" spans="2:5" x14ac:dyDescent="0.2">
      <c r="B83" s="29" t="s">
        <v>235</v>
      </c>
      <c r="C83" s="29"/>
      <c r="D83" s="29"/>
      <c r="E83" s="29"/>
    </row>
    <row r="84" spans="2:5" x14ac:dyDescent="0.2">
      <c r="B84" s="29" t="s">
        <v>233</v>
      </c>
    </row>
    <row r="85" spans="2:5" x14ac:dyDescent="0.2">
      <c r="B85" s="29" t="s">
        <v>231</v>
      </c>
      <c r="C85" s="29"/>
      <c r="D85" s="29"/>
      <c r="E85" s="29"/>
    </row>
    <row r="86" spans="2:5" x14ac:dyDescent="0.2">
      <c r="B86" s="29" t="s">
        <v>310</v>
      </c>
      <c r="C86" s="29"/>
      <c r="D86" s="29"/>
      <c r="E86" s="29"/>
    </row>
    <row r="87" spans="2:5" x14ac:dyDescent="0.2">
      <c r="C87" s="29"/>
      <c r="D87" s="29"/>
      <c r="E87" s="29"/>
    </row>
    <row r="88" spans="2:5" x14ac:dyDescent="0.2">
      <c r="B88" s="29" t="s">
        <v>211</v>
      </c>
      <c r="C88" s="29"/>
      <c r="D88" s="29"/>
      <c r="E88" s="29"/>
    </row>
    <row r="89" spans="2:5" x14ac:dyDescent="0.2">
      <c r="B89" s="29" t="s">
        <v>496</v>
      </c>
      <c r="C89" s="29"/>
      <c r="D89" s="29"/>
      <c r="E89" s="29"/>
    </row>
    <row r="90" spans="2:5" x14ac:dyDescent="0.2">
      <c r="B90" s="29" t="s">
        <v>577</v>
      </c>
      <c r="C90" s="29"/>
      <c r="D90" s="29"/>
      <c r="E90" s="29"/>
    </row>
    <row r="91" spans="2:5" x14ac:dyDescent="0.2">
      <c r="B91" s="29" t="s">
        <v>205</v>
      </c>
      <c r="C91" s="29"/>
      <c r="D91" s="29"/>
      <c r="E91" s="29"/>
    </row>
    <row r="92" spans="2:5" x14ac:dyDescent="0.2">
      <c r="B92" s="29" t="s">
        <v>212</v>
      </c>
      <c r="C92" s="29"/>
      <c r="D92" s="29"/>
      <c r="E92" s="29"/>
    </row>
    <row r="93" spans="2:5" x14ac:dyDescent="0.2">
      <c r="B93" s="29" t="s">
        <v>208</v>
      </c>
      <c r="C93" s="29"/>
      <c r="D93" s="29"/>
      <c r="E93" s="29"/>
    </row>
    <row r="94" spans="2:5" x14ac:dyDescent="0.2">
      <c r="B94" s="29" t="s">
        <v>207</v>
      </c>
      <c r="C94" s="29"/>
      <c r="D94" s="29"/>
      <c r="E94" s="29"/>
    </row>
    <row r="95" spans="2:5" x14ac:dyDescent="0.2">
      <c r="B95" s="29" t="s">
        <v>210</v>
      </c>
      <c r="C95" s="29"/>
      <c r="D95" s="29"/>
      <c r="E95" s="29"/>
    </row>
    <row r="96" spans="2:5" x14ac:dyDescent="0.2">
      <c r="B96" s="29" t="s">
        <v>209</v>
      </c>
      <c r="C96" s="29"/>
      <c r="D96" s="29"/>
      <c r="E96" s="29"/>
    </row>
    <row r="97" spans="2:5" x14ac:dyDescent="0.2">
      <c r="B97" s="29" t="s">
        <v>190</v>
      </c>
      <c r="C97" s="29"/>
      <c r="D97" s="29"/>
      <c r="E97" s="29"/>
    </row>
    <row r="98" spans="2:5" x14ac:dyDescent="0.2">
      <c r="B98" s="29" t="s">
        <v>23</v>
      </c>
    </row>
    <row r="99" spans="2:5" x14ac:dyDescent="0.2">
      <c r="B99" s="29" t="s">
        <v>202</v>
      </c>
    </row>
    <row r="100" spans="2:5" x14ac:dyDescent="0.2">
      <c r="B100" s="29" t="s">
        <v>206</v>
      </c>
    </row>
  </sheetData>
  <sheetProtection sheet="1" selectLockedCells="1" selectUnlockedCell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N57"/>
  <sheetViews>
    <sheetView showGridLines="0" workbookViewId="0">
      <selection activeCell="A21" sqref="A21:D21"/>
    </sheetView>
  </sheetViews>
  <sheetFormatPr defaultRowHeight="12.75" x14ac:dyDescent="0.2"/>
  <cols>
    <col min="12" max="12" width="10.5703125" customWidth="1"/>
  </cols>
  <sheetData>
    <row r="1" spans="1:14" ht="24" customHeight="1" x14ac:dyDescent="0.2">
      <c r="A1" s="287" t="s">
        <v>253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4" spans="1:14" ht="15.95" customHeight="1" x14ac:dyDescent="0.2">
      <c r="A4" s="294" t="s">
        <v>195</v>
      </c>
      <c r="B4" s="294"/>
      <c r="C4" s="294"/>
      <c r="D4" s="294"/>
      <c r="F4" s="294" t="s">
        <v>196</v>
      </c>
      <c r="G4" s="294"/>
      <c r="H4" s="294"/>
      <c r="I4" s="294"/>
      <c r="K4" s="294" t="s">
        <v>197</v>
      </c>
      <c r="L4" s="294"/>
      <c r="M4" s="294"/>
      <c r="N4" s="294"/>
    </row>
    <row r="5" spans="1:14" ht="15.95" customHeight="1" x14ac:dyDescent="0.2">
      <c r="A5" s="294" t="s">
        <v>198</v>
      </c>
      <c r="B5" s="378"/>
      <c r="C5" s="378"/>
      <c r="D5" s="378"/>
    </row>
    <row r="6" spans="1:14" x14ac:dyDescent="0.2">
      <c r="A6" s="379" t="s">
        <v>199</v>
      </c>
      <c r="B6" s="379"/>
      <c r="C6" s="379"/>
      <c r="D6" s="379"/>
      <c r="F6" s="375" t="s">
        <v>200</v>
      </c>
      <c r="G6" s="375"/>
      <c r="H6" s="375"/>
      <c r="I6" s="375"/>
      <c r="K6" s="375" t="s">
        <v>23</v>
      </c>
      <c r="L6" s="375"/>
      <c r="M6" s="375"/>
      <c r="N6" s="375"/>
    </row>
    <row r="7" spans="1:14" x14ac:dyDescent="0.2">
      <c r="A7" s="379" t="s">
        <v>201</v>
      </c>
      <c r="B7" s="379"/>
      <c r="C7" s="379"/>
      <c r="D7" s="379"/>
      <c r="F7" s="375" t="s">
        <v>145</v>
      </c>
      <c r="G7" s="375"/>
      <c r="H7" s="375"/>
      <c r="I7" s="375"/>
      <c r="K7" s="375" t="s">
        <v>202</v>
      </c>
      <c r="L7" s="375"/>
      <c r="M7" s="375"/>
      <c r="N7" s="375"/>
    </row>
    <row r="8" spans="1:14" x14ac:dyDescent="0.2">
      <c r="A8" s="379" t="s">
        <v>203</v>
      </c>
      <c r="B8" s="379"/>
      <c r="C8" s="379"/>
      <c r="D8" s="379"/>
      <c r="F8" s="375" t="s">
        <v>204</v>
      </c>
      <c r="G8" s="375"/>
      <c r="H8" s="375"/>
      <c r="I8" s="375"/>
      <c r="K8" s="375" t="s">
        <v>205</v>
      </c>
      <c r="L8" s="375"/>
      <c r="M8" s="375"/>
      <c r="N8" s="375"/>
    </row>
    <row r="9" spans="1:14" x14ac:dyDescent="0.2">
      <c r="A9" s="379" t="s">
        <v>184</v>
      </c>
      <c r="B9" s="379"/>
      <c r="C9" s="379"/>
      <c r="D9" s="379"/>
      <c r="F9" s="375" t="s">
        <v>206</v>
      </c>
      <c r="G9" s="375"/>
      <c r="H9" s="375"/>
      <c r="I9" s="375"/>
      <c r="K9" s="375" t="s">
        <v>207</v>
      </c>
      <c r="L9" s="375"/>
      <c r="M9" s="375"/>
      <c r="N9" s="375"/>
    </row>
    <row r="10" spans="1:14" x14ac:dyDescent="0.2">
      <c r="A10" s="379" t="s">
        <v>206</v>
      </c>
      <c r="B10" s="379"/>
      <c r="C10" s="379"/>
      <c r="D10" s="379"/>
      <c r="K10" s="375" t="s">
        <v>208</v>
      </c>
      <c r="L10" s="375"/>
      <c r="M10" s="375"/>
      <c r="N10" s="375"/>
    </row>
    <row r="11" spans="1:14" x14ac:dyDescent="0.2">
      <c r="K11" s="375" t="s">
        <v>190</v>
      </c>
      <c r="L11" s="375"/>
      <c r="M11" s="375"/>
      <c r="N11" s="375"/>
    </row>
    <row r="12" spans="1:14" x14ac:dyDescent="0.2">
      <c r="K12" s="375" t="s">
        <v>209</v>
      </c>
      <c r="L12" s="375"/>
      <c r="M12" s="375"/>
      <c r="N12" s="375"/>
    </row>
    <row r="13" spans="1:14" x14ac:dyDescent="0.2">
      <c r="K13" s="375" t="s">
        <v>210</v>
      </c>
      <c r="L13" s="375"/>
      <c r="M13" s="375"/>
      <c r="N13" s="375"/>
    </row>
    <row r="14" spans="1:14" x14ac:dyDescent="0.2">
      <c r="K14" s="375" t="s">
        <v>211</v>
      </c>
      <c r="L14" s="375"/>
      <c r="M14" s="375"/>
      <c r="N14" s="375"/>
    </row>
    <row r="15" spans="1:14" x14ac:dyDescent="0.2">
      <c r="K15" s="375" t="s">
        <v>212</v>
      </c>
      <c r="L15" s="375"/>
      <c r="M15" s="375"/>
      <c r="N15" s="375"/>
    </row>
    <row r="16" spans="1:14" x14ac:dyDescent="0.2">
      <c r="K16" s="375" t="s">
        <v>206</v>
      </c>
      <c r="L16" s="375"/>
      <c r="M16" s="375"/>
      <c r="N16" s="375"/>
    </row>
    <row r="17" spans="1:14" x14ac:dyDescent="0.2">
      <c r="K17" s="42"/>
      <c r="L17" s="42"/>
      <c r="M17" s="42"/>
      <c r="N17" s="42"/>
    </row>
    <row r="18" spans="1:14" x14ac:dyDescent="0.2">
      <c r="K18" s="375"/>
      <c r="L18" s="375"/>
      <c r="M18" s="375"/>
      <c r="N18" s="375"/>
    </row>
    <row r="19" spans="1:14" ht="15.95" customHeight="1" x14ac:dyDescent="0.2">
      <c r="A19" s="294" t="s">
        <v>213</v>
      </c>
      <c r="B19" s="294"/>
      <c r="C19" s="294"/>
      <c r="D19" s="294"/>
      <c r="F19" s="294" t="s">
        <v>214</v>
      </c>
      <c r="G19" s="294"/>
      <c r="H19" s="294"/>
      <c r="I19" s="294"/>
      <c r="K19" s="294" t="s">
        <v>215</v>
      </c>
      <c r="L19" s="294"/>
      <c r="M19" s="294"/>
      <c r="N19" s="294"/>
    </row>
    <row r="20" spans="1:14" x14ac:dyDescent="0.2">
      <c r="F20" s="376" t="s">
        <v>216</v>
      </c>
      <c r="G20" s="376"/>
      <c r="H20" s="376"/>
      <c r="I20" s="376"/>
      <c r="K20" s="375" t="s">
        <v>143</v>
      </c>
      <c r="L20" s="375"/>
      <c r="M20" s="375"/>
      <c r="N20" s="375"/>
    </row>
    <row r="21" spans="1:14" x14ac:dyDescent="0.2">
      <c r="A21" s="375" t="s">
        <v>217</v>
      </c>
      <c r="B21" s="375"/>
      <c r="C21" s="375"/>
      <c r="D21" s="375"/>
      <c r="F21" s="376" t="s">
        <v>218</v>
      </c>
      <c r="G21" s="376"/>
      <c r="H21" s="376"/>
      <c r="I21" s="376"/>
      <c r="K21" s="375" t="s">
        <v>144</v>
      </c>
      <c r="L21" s="375"/>
      <c r="M21" s="375"/>
      <c r="N21" s="375"/>
    </row>
    <row r="22" spans="1:14" x14ac:dyDescent="0.2">
      <c r="A22" s="375" t="s">
        <v>219</v>
      </c>
      <c r="B22" s="375"/>
      <c r="C22" s="375"/>
      <c r="D22" s="375"/>
      <c r="F22" s="375"/>
      <c r="G22" s="375"/>
      <c r="H22" s="375"/>
      <c r="I22" s="375"/>
      <c r="K22" s="375" t="s">
        <v>220</v>
      </c>
      <c r="L22" s="375"/>
      <c r="M22" s="375"/>
      <c r="N22" s="375"/>
    </row>
    <row r="23" spans="1:14" x14ac:dyDescent="0.2">
      <c r="A23" s="375" t="s">
        <v>221</v>
      </c>
      <c r="B23" s="375"/>
      <c r="C23" s="375"/>
      <c r="D23" s="375"/>
      <c r="F23" s="377" t="s">
        <v>222</v>
      </c>
      <c r="G23" s="377"/>
      <c r="H23" s="377"/>
      <c r="I23" s="377"/>
      <c r="K23" s="375" t="s">
        <v>211</v>
      </c>
      <c r="L23" s="375"/>
      <c r="M23" s="375"/>
      <c r="N23" s="375"/>
    </row>
    <row r="24" spans="1:14" x14ac:dyDescent="0.2">
      <c r="A24" s="375" t="s">
        <v>223</v>
      </c>
      <c r="B24" s="375"/>
      <c r="C24" s="375"/>
      <c r="D24" s="375"/>
      <c r="F24" s="377"/>
      <c r="G24" s="377"/>
      <c r="H24" s="377"/>
      <c r="I24" s="377"/>
      <c r="K24" s="375" t="s">
        <v>224</v>
      </c>
      <c r="L24" s="375"/>
      <c r="M24" s="375"/>
      <c r="N24" s="375"/>
    </row>
    <row r="25" spans="1:14" x14ac:dyDescent="0.2">
      <c r="A25" s="375" t="s">
        <v>225</v>
      </c>
      <c r="B25" s="375"/>
      <c r="C25" s="375"/>
      <c r="D25" s="375"/>
      <c r="F25" s="43" t="s">
        <v>226</v>
      </c>
      <c r="G25" s="43"/>
      <c r="H25" s="43"/>
      <c r="I25" s="43"/>
      <c r="K25" s="375" t="s">
        <v>227</v>
      </c>
      <c r="L25" s="375"/>
      <c r="M25" s="375"/>
      <c r="N25" s="375"/>
    </row>
    <row r="26" spans="1:14" x14ac:dyDescent="0.2">
      <c r="A26" s="375" t="s">
        <v>228</v>
      </c>
      <c r="B26" s="375"/>
      <c r="C26" s="375"/>
      <c r="D26" s="375"/>
      <c r="F26" s="43" t="s">
        <v>229</v>
      </c>
      <c r="G26" s="43"/>
      <c r="H26" s="43"/>
      <c r="I26" s="43"/>
    </row>
    <row r="27" spans="1:14" x14ac:dyDescent="0.2">
      <c r="A27" s="375" t="s">
        <v>230</v>
      </c>
      <c r="B27" s="375"/>
      <c r="C27" s="375"/>
      <c r="D27" s="375"/>
      <c r="F27" s="43"/>
      <c r="G27" s="43"/>
      <c r="H27" s="43"/>
      <c r="I27" s="43"/>
    </row>
    <row r="28" spans="1:14" x14ac:dyDescent="0.2">
      <c r="A28" s="375" t="s">
        <v>231</v>
      </c>
      <c r="B28" s="375"/>
      <c r="C28" s="375"/>
      <c r="D28" s="375"/>
      <c r="F28" s="43" t="s">
        <v>232</v>
      </c>
      <c r="G28" s="43"/>
      <c r="H28" s="43"/>
      <c r="I28" s="43"/>
    </row>
    <row r="29" spans="1:14" x14ac:dyDescent="0.2">
      <c r="A29" s="375" t="s">
        <v>233</v>
      </c>
      <c r="B29" s="375"/>
      <c r="C29" s="375"/>
      <c r="D29" s="375"/>
      <c r="F29" s="43" t="s">
        <v>234</v>
      </c>
      <c r="G29" s="43"/>
      <c r="H29" s="43"/>
      <c r="I29" s="43"/>
    </row>
    <row r="30" spans="1:14" x14ac:dyDescent="0.2">
      <c r="A30" s="375" t="s">
        <v>235</v>
      </c>
      <c r="B30" s="375"/>
      <c r="C30" s="375"/>
      <c r="D30" s="375"/>
      <c r="F30" s="43"/>
      <c r="G30" s="43"/>
      <c r="H30" s="43"/>
      <c r="I30" s="43"/>
      <c r="L30" s="76" t="s">
        <v>341</v>
      </c>
    </row>
    <row r="31" spans="1:14" x14ac:dyDescent="0.2">
      <c r="A31" s="375" t="s">
        <v>236</v>
      </c>
      <c r="B31" s="375"/>
      <c r="C31" s="375"/>
      <c r="D31" s="375"/>
      <c r="F31" s="43" t="s">
        <v>237</v>
      </c>
      <c r="G31" s="43"/>
      <c r="H31" s="43"/>
      <c r="I31" s="43"/>
      <c r="L31" t="s">
        <v>329</v>
      </c>
    </row>
    <row r="32" spans="1:14" x14ac:dyDescent="0.2">
      <c r="A32" s="375" t="s">
        <v>238</v>
      </c>
      <c r="B32" s="375"/>
      <c r="C32" s="375"/>
      <c r="D32" s="375"/>
      <c r="F32" s="43" t="s">
        <v>239</v>
      </c>
      <c r="G32" s="43"/>
      <c r="H32" s="43"/>
      <c r="I32" s="43"/>
      <c r="L32" t="s">
        <v>339</v>
      </c>
    </row>
    <row r="33" spans="1:12" x14ac:dyDescent="0.2">
      <c r="A33" s="375" t="s">
        <v>240</v>
      </c>
      <c r="B33" s="375"/>
      <c r="C33" s="375"/>
      <c r="D33" s="375"/>
      <c r="F33" s="43"/>
      <c r="G33" s="43"/>
      <c r="H33" s="43"/>
      <c r="I33" s="43"/>
      <c r="L33" t="s">
        <v>340</v>
      </c>
    </row>
    <row r="34" spans="1:12" x14ac:dyDescent="0.2">
      <c r="A34" s="375" t="s">
        <v>241</v>
      </c>
      <c r="B34" s="375"/>
      <c r="C34" s="375"/>
      <c r="D34" s="375"/>
      <c r="F34" s="43" t="s">
        <v>222</v>
      </c>
      <c r="G34" s="43"/>
      <c r="H34" s="43"/>
      <c r="I34" s="43"/>
    </row>
    <row r="35" spans="1:12" x14ac:dyDescent="0.2">
      <c r="A35" s="375" t="s">
        <v>243</v>
      </c>
      <c r="B35" s="375"/>
      <c r="C35" s="375"/>
      <c r="D35" s="375"/>
      <c r="F35" s="43" t="s">
        <v>242</v>
      </c>
      <c r="G35" s="43"/>
      <c r="H35" s="43"/>
      <c r="I35" s="43"/>
    </row>
    <row r="36" spans="1:12" x14ac:dyDescent="0.2">
      <c r="A36" s="375" t="s">
        <v>244</v>
      </c>
      <c r="B36" s="375"/>
      <c r="C36" s="375"/>
      <c r="D36" s="375"/>
      <c r="F36" s="43"/>
      <c r="G36" s="43"/>
      <c r="H36" s="43"/>
      <c r="I36" s="43"/>
    </row>
    <row r="37" spans="1:12" x14ac:dyDescent="0.2">
      <c r="A37" s="375" t="s">
        <v>246</v>
      </c>
      <c r="B37" s="375"/>
      <c r="C37" s="375"/>
      <c r="D37" s="375"/>
      <c r="F37" s="43" t="s">
        <v>245</v>
      </c>
      <c r="G37" s="43"/>
      <c r="H37" s="43"/>
      <c r="I37" s="43"/>
    </row>
    <row r="38" spans="1:12" x14ac:dyDescent="0.2">
      <c r="A38" s="375" t="s">
        <v>247</v>
      </c>
      <c r="B38" s="375"/>
      <c r="C38" s="375"/>
      <c r="D38" s="375"/>
      <c r="F38" s="43"/>
      <c r="G38" s="43"/>
      <c r="H38" s="43"/>
      <c r="I38" s="43"/>
    </row>
    <row r="39" spans="1:12" x14ac:dyDescent="0.2">
      <c r="A39" s="375" t="s">
        <v>249</v>
      </c>
      <c r="B39" s="375"/>
      <c r="C39" s="375"/>
      <c r="D39" s="375"/>
      <c r="F39" s="43" t="s">
        <v>248</v>
      </c>
      <c r="G39" s="43"/>
      <c r="H39" s="43"/>
      <c r="I39" s="43"/>
    </row>
    <row r="40" spans="1:12" x14ac:dyDescent="0.2">
      <c r="A40" s="375" t="s">
        <v>250</v>
      </c>
      <c r="B40" s="375"/>
      <c r="C40" s="375"/>
      <c r="D40" s="375"/>
      <c r="F40" s="377"/>
      <c r="G40" s="377"/>
      <c r="H40" s="377"/>
      <c r="I40" s="377"/>
    </row>
    <row r="41" spans="1:12" x14ac:dyDescent="0.2">
      <c r="A41" s="375" t="s">
        <v>252</v>
      </c>
      <c r="B41" s="375"/>
      <c r="C41" s="375"/>
      <c r="D41" s="375"/>
      <c r="F41" s="377" t="s">
        <v>251</v>
      </c>
      <c r="G41" s="377"/>
      <c r="H41" s="377"/>
      <c r="I41" s="377"/>
    </row>
    <row r="42" spans="1:12" x14ac:dyDescent="0.2">
      <c r="A42" s="375" t="s">
        <v>323</v>
      </c>
      <c r="B42" s="375"/>
      <c r="C42" s="375"/>
      <c r="D42" s="375"/>
      <c r="F42" s="375"/>
      <c r="G42" s="375"/>
      <c r="H42" s="375"/>
      <c r="I42" s="375"/>
    </row>
    <row r="43" spans="1:12" x14ac:dyDescent="0.2">
      <c r="A43" s="375" t="s">
        <v>310</v>
      </c>
      <c r="B43" s="375"/>
      <c r="C43" s="375"/>
      <c r="D43" s="375"/>
    </row>
    <row r="44" spans="1:12" x14ac:dyDescent="0.2">
      <c r="A44" s="375"/>
      <c r="B44" s="375"/>
      <c r="C44" s="375"/>
      <c r="D44" s="375"/>
    </row>
    <row r="45" spans="1:12" x14ac:dyDescent="0.2">
      <c r="A45" s="375"/>
      <c r="B45" s="375"/>
      <c r="C45" s="375"/>
      <c r="D45" s="375"/>
    </row>
    <row r="46" spans="1:12" x14ac:dyDescent="0.2">
      <c r="A46" s="375"/>
      <c r="B46" s="375"/>
      <c r="C46" s="375"/>
      <c r="D46" s="375"/>
    </row>
    <row r="47" spans="1:12" x14ac:dyDescent="0.2">
      <c r="A47" s="375"/>
      <c r="B47" s="375"/>
      <c r="C47" s="375"/>
      <c r="D47" s="375"/>
    </row>
    <row r="48" spans="1:12" x14ac:dyDescent="0.2">
      <c r="A48" s="375"/>
      <c r="B48" s="375"/>
      <c r="C48" s="375"/>
      <c r="D48" s="375"/>
    </row>
    <row r="49" spans="1:4" x14ac:dyDescent="0.2">
      <c r="A49" s="375"/>
      <c r="B49" s="375"/>
      <c r="C49" s="375"/>
      <c r="D49" s="375"/>
    </row>
    <row r="50" spans="1:4" x14ac:dyDescent="0.2">
      <c r="A50" s="375"/>
      <c r="B50" s="375"/>
      <c r="C50" s="375"/>
      <c r="D50" s="375"/>
    </row>
    <row r="51" spans="1:4" x14ac:dyDescent="0.2">
      <c r="A51" s="375"/>
      <c r="B51" s="375"/>
      <c r="C51" s="375"/>
      <c r="D51" s="375"/>
    </row>
    <row r="52" spans="1:4" x14ac:dyDescent="0.2">
      <c r="A52" s="375"/>
      <c r="B52" s="375"/>
      <c r="C52" s="375"/>
      <c r="D52" s="375"/>
    </row>
    <row r="53" spans="1:4" x14ac:dyDescent="0.2">
      <c r="A53" s="375"/>
      <c r="B53" s="375"/>
      <c r="C53" s="375"/>
      <c r="D53" s="375"/>
    </row>
    <row r="54" spans="1:4" x14ac:dyDescent="0.2">
      <c r="A54" s="375"/>
      <c r="B54" s="375"/>
      <c r="C54" s="375"/>
      <c r="D54" s="375"/>
    </row>
    <row r="55" spans="1:4" x14ac:dyDescent="0.2">
      <c r="A55" s="375"/>
      <c r="B55" s="375"/>
      <c r="C55" s="375"/>
      <c r="D55" s="375"/>
    </row>
    <row r="56" spans="1:4" x14ac:dyDescent="0.2">
      <c r="A56" s="375"/>
      <c r="B56" s="375"/>
      <c r="C56" s="375"/>
      <c r="D56" s="375"/>
    </row>
    <row r="57" spans="1:4" x14ac:dyDescent="0.2">
      <c r="A57" s="375"/>
      <c r="B57" s="375"/>
      <c r="C57" s="375"/>
      <c r="D57" s="375"/>
    </row>
  </sheetData>
  <sheetProtection sheet="1" selectLockedCells="1" selectUnlockedCells="1"/>
  <mergeCells count="80">
    <mergeCell ref="A55:D55"/>
    <mergeCell ref="A51:D51"/>
    <mergeCell ref="A7:D7"/>
    <mergeCell ref="A10:D10"/>
    <mergeCell ref="A8:D8"/>
    <mergeCell ref="A9:D9"/>
    <mergeCell ref="A38:D38"/>
    <mergeCell ref="A33:D33"/>
    <mergeCell ref="A25:D25"/>
    <mergeCell ref="A24:D24"/>
    <mergeCell ref="K8:N8"/>
    <mergeCell ref="F7:I7"/>
    <mergeCell ref="F8:I8"/>
    <mergeCell ref="K10:N10"/>
    <mergeCell ref="K9:N9"/>
    <mergeCell ref="F9:I9"/>
    <mergeCell ref="F42:I42"/>
    <mergeCell ref="A41:D41"/>
    <mergeCell ref="A34:D34"/>
    <mergeCell ref="A37:D37"/>
    <mergeCell ref="A35:D35"/>
    <mergeCell ref="A39:D39"/>
    <mergeCell ref="A40:D40"/>
    <mergeCell ref="A36:D36"/>
    <mergeCell ref="A57:D57"/>
    <mergeCell ref="F40:I40"/>
    <mergeCell ref="A46:D46"/>
    <mergeCell ref="A43:D43"/>
    <mergeCell ref="A44:D44"/>
    <mergeCell ref="A45:D45"/>
    <mergeCell ref="F41:I41"/>
    <mergeCell ref="A52:D52"/>
    <mergeCell ref="A54:D54"/>
    <mergeCell ref="A42:D42"/>
    <mergeCell ref="A49:D49"/>
    <mergeCell ref="A50:D50"/>
    <mergeCell ref="A56:D56"/>
    <mergeCell ref="A47:D47"/>
    <mergeCell ref="A48:D48"/>
    <mergeCell ref="A53:D53"/>
    <mergeCell ref="K18:N18"/>
    <mergeCell ref="K16:N16"/>
    <mergeCell ref="K14:N14"/>
    <mergeCell ref="A1:N1"/>
    <mergeCell ref="F4:I4"/>
    <mergeCell ref="F6:I6"/>
    <mergeCell ref="A4:D4"/>
    <mergeCell ref="A5:D5"/>
    <mergeCell ref="A6:D6"/>
    <mergeCell ref="K4:N4"/>
    <mergeCell ref="K6:N6"/>
    <mergeCell ref="K11:N11"/>
    <mergeCell ref="K12:N12"/>
    <mergeCell ref="K13:N13"/>
    <mergeCell ref="K15:N15"/>
    <mergeCell ref="K7:N7"/>
    <mergeCell ref="K23:N23"/>
    <mergeCell ref="A23:D23"/>
    <mergeCell ref="A28:D28"/>
    <mergeCell ref="F22:I22"/>
    <mergeCell ref="F23:I23"/>
    <mergeCell ref="F24:I24"/>
    <mergeCell ref="K22:N22"/>
    <mergeCell ref="A27:D27"/>
    <mergeCell ref="K19:N19"/>
    <mergeCell ref="A32:D32"/>
    <mergeCell ref="F19:I19"/>
    <mergeCell ref="K20:N20"/>
    <mergeCell ref="K21:N21"/>
    <mergeCell ref="F20:I20"/>
    <mergeCell ref="A21:D21"/>
    <mergeCell ref="K24:N24"/>
    <mergeCell ref="K25:N25"/>
    <mergeCell ref="F21:I21"/>
    <mergeCell ref="A26:D26"/>
    <mergeCell ref="A29:D29"/>
    <mergeCell ref="A22:D22"/>
    <mergeCell ref="A19:D19"/>
    <mergeCell ref="A30:D30"/>
    <mergeCell ref="A31:D31"/>
  </mergeCells>
  <phoneticPr fontId="25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2:AI108"/>
  <sheetViews>
    <sheetView topLeftCell="H51" zoomScaleNormal="100" workbookViewId="0">
      <selection activeCell="J94" sqref="J94"/>
    </sheetView>
  </sheetViews>
  <sheetFormatPr defaultRowHeight="12.75" x14ac:dyDescent="0.2"/>
  <cols>
    <col min="2" max="2" width="13.28515625" customWidth="1"/>
    <col min="3" max="3" width="13" customWidth="1"/>
    <col min="4" max="4" width="12.140625" customWidth="1"/>
    <col min="5" max="5" width="13.7109375" customWidth="1"/>
    <col min="6" max="6" width="13.42578125" customWidth="1"/>
    <col min="7" max="8" width="10.7109375" customWidth="1"/>
    <col min="10" max="10" width="14" customWidth="1"/>
    <col min="11" max="11" width="10.7109375" customWidth="1"/>
    <col min="12" max="12" width="9.5703125" customWidth="1"/>
    <col min="15" max="16" width="10.28515625" customWidth="1"/>
    <col min="29" max="29" width="7.28515625" customWidth="1"/>
    <col min="30" max="30" width="5.5703125" customWidth="1"/>
    <col min="31" max="31" width="6" customWidth="1"/>
    <col min="32" max="32" width="7.42578125" bestFit="1" customWidth="1"/>
    <col min="34" max="34" width="10" customWidth="1"/>
  </cols>
  <sheetData>
    <row r="2" spans="1:21" ht="21.75" customHeight="1" x14ac:dyDescent="0.2">
      <c r="A2" s="287" t="s">
        <v>575</v>
      </c>
      <c r="B2" s="287"/>
      <c r="C2" s="287"/>
      <c r="D2" s="287"/>
      <c r="E2" s="287"/>
      <c r="F2" s="287"/>
      <c r="G2" s="287"/>
      <c r="H2" s="2"/>
      <c r="I2" s="2"/>
      <c r="J2" s="47"/>
      <c r="K2" s="44"/>
      <c r="L2" s="45"/>
      <c r="M2" s="45"/>
      <c r="N2" s="45"/>
      <c r="O2" s="45"/>
      <c r="P2" s="45"/>
      <c r="Q2" s="45"/>
    </row>
    <row r="4" spans="1:21" x14ac:dyDescent="0.2">
      <c r="G4" s="83"/>
      <c r="H4" s="83"/>
    </row>
    <row r="5" spans="1:21" ht="26.1" customHeight="1" x14ac:dyDescent="0.2">
      <c r="B5" s="402" t="s">
        <v>254</v>
      </c>
      <c r="C5" s="378"/>
      <c r="D5" s="378"/>
      <c r="E5" s="378"/>
      <c r="F5" s="392"/>
      <c r="G5" s="83"/>
      <c r="H5" s="83"/>
      <c r="J5" s="411" t="s">
        <v>382</v>
      </c>
      <c r="K5" s="411"/>
      <c r="L5" s="411"/>
      <c r="M5" s="411"/>
      <c r="N5" s="411"/>
      <c r="O5" s="411"/>
      <c r="P5" s="411"/>
      <c r="Q5" s="411"/>
      <c r="R5" s="411"/>
      <c r="S5" s="411"/>
      <c r="T5" s="411"/>
    </row>
    <row r="6" spans="1:21" ht="18" customHeight="1" x14ac:dyDescent="0.2">
      <c r="B6" s="394" t="s">
        <v>214</v>
      </c>
      <c r="C6" s="378"/>
      <c r="D6" s="378" t="s">
        <v>257</v>
      </c>
      <c r="E6" s="378" t="s">
        <v>258</v>
      </c>
      <c r="F6" s="392"/>
      <c r="G6" s="83"/>
      <c r="H6" s="83"/>
      <c r="J6" s="72"/>
      <c r="K6" s="72"/>
      <c r="L6" s="72"/>
      <c r="M6" s="100" t="s">
        <v>381</v>
      </c>
      <c r="N6" s="100" t="s">
        <v>383</v>
      </c>
      <c r="O6" s="72"/>
      <c r="P6" s="72"/>
      <c r="Q6" s="72"/>
      <c r="R6" s="72"/>
      <c r="S6" s="72"/>
      <c r="T6" s="72"/>
      <c r="U6" s="106"/>
    </row>
    <row r="7" spans="1:21" ht="18" customHeight="1" x14ac:dyDescent="0.2">
      <c r="B7" s="50" t="s">
        <v>255</v>
      </c>
      <c r="C7" s="2" t="s">
        <v>256</v>
      </c>
      <c r="D7" s="378"/>
      <c r="E7" s="2" t="s">
        <v>259</v>
      </c>
      <c r="F7" s="51" t="s">
        <v>260</v>
      </c>
      <c r="G7" s="83"/>
      <c r="H7" s="83"/>
      <c r="J7" s="404" t="s">
        <v>324</v>
      </c>
      <c r="K7" s="404"/>
      <c r="L7" s="404"/>
      <c r="M7" s="130" t="s">
        <v>298</v>
      </c>
      <c r="N7" s="130" t="s">
        <v>298</v>
      </c>
      <c r="O7" s="406" t="s">
        <v>327</v>
      </c>
      <c r="P7" s="406"/>
      <c r="Q7" s="406"/>
      <c r="R7" s="406"/>
      <c r="S7" s="406"/>
      <c r="T7" s="406"/>
      <c r="U7" s="106"/>
    </row>
    <row r="8" spans="1:21" ht="14.1" customHeight="1" x14ac:dyDescent="0.2">
      <c r="A8" s="119" t="s">
        <v>386</v>
      </c>
      <c r="B8" s="50" t="s">
        <v>222</v>
      </c>
      <c r="C8" s="84" t="s">
        <v>351</v>
      </c>
      <c r="D8" s="2">
        <v>2</v>
      </c>
      <c r="E8" s="46">
        <v>-0.04</v>
      </c>
      <c r="F8" s="52">
        <v>-3.3399999999999999E-2</v>
      </c>
      <c r="G8" s="68"/>
      <c r="H8" s="75"/>
      <c r="J8" s="404" t="s">
        <v>325</v>
      </c>
      <c r="K8" s="404"/>
      <c r="L8" s="404"/>
      <c r="M8" s="101" t="s">
        <v>326</v>
      </c>
      <c r="N8" s="105" t="s">
        <v>384</v>
      </c>
      <c r="O8" s="132" t="s">
        <v>327</v>
      </c>
      <c r="P8" s="132"/>
      <c r="Q8" s="132"/>
      <c r="R8" s="132"/>
      <c r="S8" s="132"/>
      <c r="T8" s="132"/>
    </row>
    <row r="9" spans="1:21" ht="14.1" customHeight="1" x14ac:dyDescent="0.2">
      <c r="A9" s="119" t="s">
        <v>278</v>
      </c>
      <c r="B9" s="50" t="s">
        <v>261</v>
      </c>
      <c r="C9" s="85" t="s">
        <v>232</v>
      </c>
      <c r="D9" s="2">
        <v>3</v>
      </c>
      <c r="E9" s="46">
        <v>-0.06</v>
      </c>
      <c r="F9" s="52">
        <v>-5.0099999999999999E-2</v>
      </c>
      <c r="G9" s="68"/>
      <c r="H9" s="75"/>
      <c r="J9" s="404" t="s">
        <v>297</v>
      </c>
      <c r="K9" s="404"/>
      <c r="L9" s="404"/>
      <c r="M9" s="102" t="s">
        <v>298</v>
      </c>
      <c r="N9" s="103" t="s">
        <v>298</v>
      </c>
      <c r="O9" s="92"/>
      <c r="P9" s="92"/>
      <c r="Q9" s="72"/>
      <c r="R9" s="72"/>
      <c r="S9" s="72"/>
      <c r="T9" s="72"/>
    </row>
    <row r="10" spans="1:21" ht="14.1" customHeight="1" x14ac:dyDescent="0.2">
      <c r="A10" s="119" t="s">
        <v>279</v>
      </c>
      <c r="B10" s="50" t="s">
        <v>237</v>
      </c>
      <c r="C10" s="84" t="s">
        <v>262</v>
      </c>
      <c r="D10" s="2">
        <v>5</v>
      </c>
      <c r="E10" s="46">
        <v>-0.1</v>
      </c>
      <c r="F10" s="52">
        <v>-8.3400000000000002E-2</v>
      </c>
      <c r="G10" s="68"/>
      <c r="H10" s="75"/>
      <c r="J10" s="404" t="s">
        <v>299</v>
      </c>
      <c r="K10" s="404"/>
      <c r="L10" s="404"/>
      <c r="M10" s="102">
        <v>-1.6670000000000001E-2</v>
      </c>
      <c r="N10" s="104">
        <v>-0.02</v>
      </c>
      <c r="O10" s="92"/>
      <c r="P10" s="92"/>
      <c r="Q10" s="72"/>
      <c r="R10" s="72"/>
      <c r="S10" s="72"/>
      <c r="T10" s="72"/>
    </row>
    <row r="11" spans="1:21" ht="14.1" customHeight="1" x14ac:dyDescent="0.2">
      <c r="A11" s="119" t="s">
        <v>280</v>
      </c>
      <c r="B11" s="50" t="s">
        <v>263</v>
      </c>
      <c r="C11" s="84" t="s">
        <v>264</v>
      </c>
      <c r="D11" s="2">
        <v>9</v>
      </c>
      <c r="E11" s="46">
        <v>-0.18</v>
      </c>
      <c r="F11" s="52">
        <v>-0.1502</v>
      </c>
      <c r="G11" s="68"/>
      <c r="H11" s="75"/>
      <c r="J11" s="404" t="s">
        <v>300</v>
      </c>
      <c r="K11" s="404"/>
      <c r="L11" s="404"/>
      <c r="M11" s="102" t="s">
        <v>298</v>
      </c>
      <c r="N11" s="103" t="s">
        <v>298</v>
      </c>
      <c r="O11" s="92"/>
      <c r="P11" s="92"/>
      <c r="Q11" s="72"/>
      <c r="R11" s="72"/>
      <c r="S11" s="72"/>
      <c r="T11" s="72"/>
    </row>
    <row r="12" spans="1:21" ht="14.1" customHeight="1" x14ac:dyDescent="0.2">
      <c r="A12" s="119" t="s">
        <v>281</v>
      </c>
      <c r="B12" s="50" t="s">
        <v>265</v>
      </c>
      <c r="C12" s="84" t="s">
        <v>266</v>
      </c>
      <c r="D12" s="2">
        <v>17</v>
      </c>
      <c r="E12" s="46">
        <v>-0.34</v>
      </c>
      <c r="F12" s="52">
        <v>-0.28360000000000002</v>
      </c>
      <c r="G12" s="68"/>
      <c r="H12" s="75"/>
      <c r="J12" s="404" t="s">
        <v>301</v>
      </c>
      <c r="K12" s="404"/>
      <c r="L12" s="404"/>
      <c r="M12" s="102">
        <v>-1.6670000000000001E-2</v>
      </c>
      <c r="N12" s="104">
        <v>-0.02</v>
      </c>
      <c r="O12" s="92"/>
      <c r="P12" s="92"/>
      <c r="Q12" s="72"/>
      <c r="R12" s="72"/>
      <c r="S12" s="72"/>
      <c r="T12" s="72"/>
    </row>
    <row r="13" spans="1:21" ht="14.1" customHeight="1" x14ac:dyDescent="0.2">
      <c r="A13" s="119" t="s">
        <v>282</v>
      </c>
      <c r="B13" s="50" t="s">
        <v>267</v>
      </c>
      <c r="C13" s="2" t="s">
        <v>149</v>
      </c>
      <c r="D13" s="2">
        <v>33</v>
      </c>
      <c r="E13" s="46">
        <v>-0.66</v>
      </c>
      <c r="F13" s="52">
        <v>-0.55059999999999998</v>
      </c>
      <c r="G13" s="68"/>
      <c r="H13" s="75"/>
      <c r="J13" s="403" t="s">
        <v>524</v>
      </c>
      <c r="K13" s="404"/>
      <c r="L13" s="404"/>
      <c r="M13" s="104">
        <v>0</v>
      </c>
      <c r="N13" s="104">
        <v>0</v>
      </c>
      <c r="O13" s="92"/>
      <c r="P13" s="92"/>
      <c r="Q13" s="72"/>
      <c r="R13" s="72"/>
      <c r="S13" s="72"/>
      <c r="T13" s="72"/>
    </row>
    <row r="14" spans="1:21" ht="14.1" customHeight="1" x14ac:dyDescent="0.2">
      <c r="A14" s="119" t="s">
        <v>283</v>
      </c>
      <c r="B14" s="50" t="s">
        <v>268</v>
      </c>
      <c r="C14" s="2" t="s">
        <v>269</v>
      </c>
      <c r="D14" s="2">
        <v>65</v>
      </c>
      <c r="E14" s="46">
        <v>-1.3</v>
      </c>
      <c r="F14" s="52">
        <v>-1.0844</v>
      </c>
      <c r="G14" s="68"/>
      <c r="H14" s="75"/>
      <c r="J14" s="48"/>
      <c r="K14" s="48"/>
      <c r="L14" s="48"/>
      <c r="M14" s="48"/>
      <c r="N14" s="48"/>
      <c r="O14" s="48"/>
      <c r="P14" s="48"/>
      <c r="Q14" s="48"/>
    </row>
    <row r="15" spans="1:21" ht="14.1" customHeight="1" x14ac:dyDescent="0.2">
      <c r="A15" s="119" t="s">
        <v>284</v>
      </c>
      <c r="B15" s="50" t="s">
        <v>239</v>
      </c>
      <c r="C15" s="2" t="s">
        <v>270</v>
      </c>
      <c r="D15" s="2">
        <v>129</v>
      </c>
      <c r="E15" s="46">
        <v>-2.58</v>
      </c>
      <c r="F15" s="52">
        <v>-2.1522000000000001</v>
      </c>
      <c r="G15" s="68"/>
      <c r="H15" s="75"/>
    </row>
    <row r="16" spans="1:21" ht="14.1" customHeight="1" x14ac:dyDescent="0.2">
      <c r="A16" s="119" t="s">
        <v>285</v>
      </c>
      <c r="B16" s="50" t="s">
        <v>271</v>
      </c>
      <c r="C16" s="2" t="s">
        <v>272</v>
      </c>
      <c r="D16" s="2">
        <v>257</v>
      </c>
      <c r="E16" s="46">
        <v>-5.14</v>
      </c>
      <c r="F16" s="52">
        <v>-4.2876000000000003</v>
      </c>
      <c r="G16" s="68"/>
      <c r="H16" s="75"/>
      <c r="J16" s="2"/>
      <c r="K16" s="2"/>
      <c r="L16" s="70"/>
      <c r="M16" s="71"/>
      <c r="N16" s="71"/>
    </row>
    <row r="17" spans="1:17" ht="14.1" customHeight="1" x14ac:dyDescent="0.2">
      <c r="A17" s="119" t="s">
        <v>305</v>
      </c>
      <c r="B17" s="53" t="s">
        <v>273</v>
      </c>
      <c r="C17" s="54" t="s">
        <v>274</v>
      </c>
      <c r="D17" s="54">
        <v>513</v>
      </c>
      <c r="E17" s="55">
        <v>-10.26</v>
      </c>
      <c r="F17" s="56">
        <v>-8.5586000000000002</v>
      </c>
      <c r="G17" s="68"/>
      <c r="H17" s="75"/>
    </row>
    <row r="18" spans="1:17" ht="14.1" customHeight="1" x14ac:dyDescent="0.2">
      <c r="D18" s="50" t="s">
        <v>255</v>
      </c>
      <c r="G18" s="68"/>
      <c r="H18" s="75"/>
      <c r="J18" s="2"/>
      <c r="K18" s="2"/>
      <c r="L18" s="70"/>
      <c r="M18" s="71"/>
      <c r="N18" s="71"/>
    </row>
    <row r="19" spans="1:17" x14ac:dyDescent="0.2">
      <c r="D19" s="2" t="s">
        <v>256</v>
      </c>
    </row>
    <row r="20" spans="1:17" x14ac:dyDescent="0.2">
      <c r="B20" s="402" t="s">
        <v>275</v>
      </c>
      <c r="C20" s="378"/>
      <c r="D20" s="378"/>
      <c r="E20" s="378"/>
      <c r="F20" s="392"/>
      <c r="J20" s="48"/>
      <c r="K20" s="48"/>
      <c r="L20" s="48"/>
      <c r="M20" s="48"/>
      <c r="N20" s="48"/>
      <c r="O20" s="48"/>
      <c r="P20" s="48"/>
      <c r="Q20" s="48"/>
    </row>
    <row r="21" spans="1:17" ht="26.1" customHeight="1" x14ac:dyDescent="0.2">
      <c r="B21" s="394" t="s">
        <v>214</v>
      </c>
      <c r="C21" s="378"/>
      <c r="D21" s="378" t="s">
        <v>257</v>
      </c>
      <c r="E21" s="378" t="s">
        <v>258</v>
      </c>
      <c r="F21" s="392"/>
      <c r="G21" s="2"/>
      <c r="H21" s="2"/>
    </row>
    <row r="22" spans="1:17" ht="18" customHeight="1" x14ac:dyDescent="0.2">
      <c r="B22" s="50" t="s">
        <v>276</v>
      </c>
      <c r="C22" s="2" t="s">
        <v>277</v>
      </c>
      <c r="D22" s="378"/>
      <c r="E22" s="2" t="s">
        <v>259</v>
      </c>
      <c r="F22" s="51" t="s">
        <v>260</v>
      </c>
      <c r="G22" s="394"/>
      <c r="H22" s="378"/>
      <c r="J22" s="405" t="s">
        <v>306</v>
      </c>
      <c r="K22" s="396"/>
      <c r="L22" s="396"/>
      <c r="M22" s="396"/>
      <c r="N22" s="396"/>
      <c r="O22" s="396"/>
      <c r="P22" s="396"/>
      <c r="Q22" s="396"/>
    </row>
    <row r="23" spans="1:17" ht="18" customHeight="1" x14ac:dyDescent="0.2">
      <c r="B23" s="50" t="s">
        <v>386</v>
      </c>
      <c r="C23" s="2" t="s">
        <v>386</v>
      </c>
      <c r="D23" s="2">
        <v>1</v>
      </c>
      <c r="E23" s="46">
        <v>-0.02</v>
      </c>
      <c r="F23" s="52">
        <v>-1.67E-2</v>
      </c>
      <c r="G23" s="50"/>
      <c r="H23" s="2"/>
      <c r="J23" s="396" t="s">
        <v>260</v>
      </c>
      <c r="K23" s="401"/>
      <c r="L23" s="401"/>
      <c r="M23" s="58"/>
      <c r="N23" s="396" t="s">
        <v>259</v>
      </c>
      <c r="O23" s="396"/>
      <c r="P23" s="396"/>
      <c r="Q23" s="401"/>
    </row>
    <row r="24" spans="1:17" ht="14.1" customHeight="1" x14ac:dyDescent="0.2">
      <c r="B24" s="50" t="s">
        <v>278</v>
      </c>
      <c r="C24" s="2" t="s">
        <v>278</v>
      </c>
      <c r="D24" s="2">
        <v>2</v>
      </c>
      <c r="E24" s="46">
        <f>-0.02*D24</f>
        <v>-0.04</v>
      </c>
      <c r="F24" s="52">
        <f>-0.0167*D24</f>
        <v>-3.3399999999999999E-2</v>
      </c>
      <c r="G24" s="68"/>
      <c r="H24" s="2"/>
      <c r="J24" s="396" t="s">
        <v>307</v>
      </c>
      <c r="K24" s="401"/>
      <c r="L24" s="401"/>
      <c r="M24" s="58"/>
      <c r="N24" s="396" t="s">
        <v>309</v>
      </c>
      <c r="O24" s="396"/>
      <c r="P24" s="396"/>
      <c r="Q24" s="401"/>
    </row>
    <row r="25" spans="1:17" ht="14.1" customHeight="1" x14ac:dyDescent="0.2">
      <c r="B25" s="50" t="s">
        <v>279</v>
      </c>
      <c r="C25" s="2" t="s">
        <v>279</v>
      </c>
      <c r="D25" s="2">
        <v>4</v>
      </c>
      <c r="E25" s="46">
        <f t="shared" ref="E25:E30" si="0">-0.02*D25</f>
        <v>-0.08</v>
      </c>
      <c r="F25" s="52">
        <v>-6.6699999999999995E-2</v>
      </c>
      <c r="G25" s="68"/>
      <c r="H25" s="2"/>
      <c r="J25" s="396" t="s">
        <v>308</v>
      </c>
      <c r="K25" s="401"/>
      <c r="L25" s="401"/>
      <c r="M25" s="58"/>
      <c r="N25" s="396" t="s">
        <v>308</v>
      </c>
      <c r="O25" s="396"/>
      <c r="P25" s="396"/>
      <c r="Q25" s="401"/>
    </row>
    <row r="26" spans="1:17" ht="14.1" customHeight="1" x14ac:dyDescent="0.2">
      <c r="B26" s="50" t="s">
        <v>280</v>
      </c>
      <c r="C26" s="2" t="s">
        <v>280</v>
      </c>
      <c r="D26" s="2">
        <v>8</v>
      </c>
      <c r="E26" s="46">
        <f t="shared" si="0"/>
        <v>-0.16</v>
      </c>
      <c r="F26" s="52">
        <v>-0.13350000000000001</v>
      </c>
      <c r="G26" s="68"/>
      <c r="H26" s="2"/>
      <c r="J26" s="396" t="s">
        <v>312</v>
      </c>
      <c r="K26" s="396"/>
      <c r="L26" s="396"/>
      <c r="M26" s="58"/>
      <c r="N26" s="396" t="s">
        <v>243</v>
      </c>
      <c r="O26" s="396"/>
      <c r="P26" s="396"/>
      <c r="Q26" s="396"/>
    </row>
    <row r="27" spans="1:17" ht="14.1" customHeight="1" x14ac:dyDescent="0.2">
      <c r="B27" s="50" t="s">
        <v>281</v>
      </c>
      <c r="C27" s="2" t="s">
        <v>281</v>
      </c>
      <c r="D27" s="2">
        <v>16</v>
      </c>
      <c r="E27" s="46">
        <f t="shared" si="0"/>
        <v>-0.32</v>
      </c>
      <c r="F27" s="52">
        <v>-0.26690000000000003</v>
      </c>
      <c r="G27" s="68"/>
      <c r="H27" s="2"/>
      <c r="J27" s="58"/>
      <c r="K27" s="396"/>
      <c r="L27" s="396"/>
      <c r="M27" s="58"/>
      <c r="N27" s="396"/>
      <c r="O27" s="396"/>
      <c r="P27" s="131"/>
      <c r="Q27" s="58"/>
    </row>
    <row r="28" spans="1:17" ht="14.1" customHeight="1" x14ac:dyDescent="0.2">
      <c r="B28" s="50" t="s">
        <v>282</v>
      </c>
      <c r="C28" s="2" t="s">
        <v>282</v>
      </c>
      <c r="D28" s="2">
        <v>32</v>
      </c>
      <c r="E28" s="46">
        <f t="shared" si="0"/>
        <v>-0.64</v>
      </c>
      <c r="F28" s="52">
        <v>-0.53390000000000004</v>
      </c>
      <c r="G28" s="68"/>
      <c r="H28" s="2"/>
    </row>
    <row r="29" spans="1:17" ht="14.1" customHeight="1" x14ac:dyDescent="0.2">
      <c r="B29" s="50" t="s">
        <v>283</v>
      </c>
      <c r="C29" s="2" t="s">
        <v>283</v>
      </c>
      <c r="D29" s="2">
        <v>64</v>
      </c>
      <c r="E29" s="46">
        <f t="shared" si="0"/>
        <v>-1.28</v>
      </c>
      <c r="F29" s="52">
        <v>-1.0677000000000001</v>
      </c>
      <c r="G29" s="68"/>
      <c r="H29" s="2"/>
    </row>
    <row r="30" spans="1:17" ht="14.1" customHeight="1" x14ac:dyDescent="0.2">
      <c r="B30" s="50" t="s">
        <v>284</v>
      </c>
      <c r="C30" s="2" t="s">
        <v>284</v>
      </c>
      <c r="D30" s="2">
        <v>128</v>
      </c>
      <c r="E30" s="46">
        <f t="shared" si="0"/>
        <v>-2.56</v>
      </c>
      <c r="F30" s="52">
        <v>-2.1355</v>
      </c>
      <c r="G30" s="68"/>
      <c r="H30" s="2"/>
    </row>
    <row r="31" spans="1:17" ht="14.1" customHeight="1" x14ac:dyDescent="0.2">
      <c r="B31" s="53" t="s">
        <v>285</v>
      </c>
      <c r="C31" s="54" t="s">
        <v>285</v>
      </c>
      <c r="D31" s="54">
        <v>256</v>
      </c>
      <c r="E31" s="55">
        <v>-5.08</v>
      </c>
      <c r="F31" s="56">
        <v>-4.2375999999999996</v>
      </c>
      <c r="G31" s="68"/>
      <c r="H31" s="2"/>
    </row>
    <row r="32" spans="1:17" ht="14.1" customHeight="1" x14ac:dyDescent="0.2">
      <c r="B32" s="2"/>
      <c r="C32" s="2"/>
      <c r="G32" s="68"/>
      <c r="H32" s="2"/>
    </row>
    <row r="33" spans="2:19" x14ac:dyDescent="0.2">
      <c r="B33" s="2"/>
      <c r="C33" s="2"/>
    </row>
    <row r="34" spans="2:19" x14ac:dyDescent="0.2">
      <c r="B34" s="387" t="s">
        <v>286</v>
      </c>
      <c r="C34" s="388"/>
      <c r="D34" s="388"/>
      <c r="E34" s="388"/>
      <c r="F34" s="389"/>
    </row>
    <row r="35" spans="2:19" ht="26.1" customHeight="1" x14ac:dyDescent="0.2">
      <c r="B35" s="394" t="s">
        <v>214</v>
      </c>
      <c r="C35" s="378"/>
      <c r="D35" s="378" t="s">
        <v>257</v>
      </c>
      <c r="E35" s="378" t="s">
        <v>258</v>
      </c>
      <c r="F35" s="392"/>
      <c r="G35" s="48"/>
      <c r="H35" s="48"/>
      <c r="J35" s="400" t="s">
        <v>331</v>
      </c>
      <c r="K35" s="400"/>
      <c r="L35" s="400"/>
      <c r="M35" s="400"/>
      <c r="N35" s="400"/>
      <c r="O35" s="400"/>
      <c r="P35" s="400"/>
      <c r="Q35" s="400"/>
      <c r="R35" s="66"/>
      <c r="S35" s="66"/>
    </row>
    <row r="36" spans="2:19" ht="18" customHeight="1" x14ac:dyDescent="0.2">
      <c r="B36" s="50" t="s">
        <v>287</v>
      </c>
      <c r="C36" s="2"/>
      <c r="D36" s="378"/>
      <c r="E36" s="2" t="s">
        <v>259</v>
      </c>
      <c r="F36" s="51" t="s">
        <v>260</v>
      </c>
      <c r="G36" s="394"/>
      <c r="H36" s="378"/>
      <c r="J36" s="66"/>
      <c r="K36" s="66"/>
      <c r="L36" s="383" t="s">
        <v>332</v>
      </c>
      <c r="M36" s="383"/>
      <c r="N36" s="383"/>
      <c r="O36" s="66"/>
      <c r="P36" s="66"/>
      <c r="Q36" s="66"/>
      <c r="R36" s="66"/>
      <c r="S36" s="66"/>
    </row>
    <row r="37" spans="2:19" ht="18" customHeight="1" x14ac:dyDescent="0.2">
      <c r="B37" s="50" t="s">
        <v>386</v>
      </c>
      <c r="C37" s="2"/>
      <c r="D37" s="2">
        <v>1</v>
      </c>
      <c r="E37" s="46"/>
      <c r="F37" s="52">
        <v>-1.67E-2</v>
      </c>
      <c r="G37" s="2"/>
      <c r="H37" s="2"/>
      <c r="J37" s="384"/>
      <c r="K37" s="384"/>
      <c r="L37" s="69"/>
      <c r="M37" s="66"/>
      <c r="N37" s="66"/>
      <c r="O37" s="66"/>
      <c r="P37" s="66"/>
      <c r="Q37" s="66"/>
      <c r="R37" s="66"/>
      <c r="S37" s="66"/>
    </row>
    <row r="38" spans="2:19" ht="14.1" customHeight="1" x14ac:dyDescent="0.2">
      <c r="B38" s="50" t="s">
        <v>278</v>
      </c>
      <c r="C38" s="2"/>
      <c r="D38" s="2">
        <v>2</v>
      </c>
      <c r="E38" s="46"/>
      <c r="F38" s="52">
        <f>-0.0167*D38</f>
        <v>-3.3399999999999999E-2</v>
      </c>
      <c r="J38" s="384" t="s">
        <v>328</v>
      </c>
      <c r="K38" s="384"/>
      <c r="L38" s="77" t="s">
        <v>329</v>
      </c>
      <c r="M38" s="399" t="s">
        <v>342</v>
      </c>
      <c r="N38" s="384"/>
      <c r="O38" s="384"/>
      <c r="P38" s="384"/>
      <c r="Q38" s="384"/>
      <c r="R38" s="66"/>
      <c r="S38" s="66"/>
    </row>
    <row r="39" spans="2:19" ht="14.1" customHeight="1" x14ac:dyDescent="0.2">
      <c r="B39" s="50" t="s">
        <v>279</v>
      </c>
      <c r="C39" s="2"/>
      <c r="D39" s="2">
        <v>4</v>
      </c>
      <c r="E39" s="46"/>
      <c r="F39" s="52">
        <v>-6.6699999999999995E-2</v>
      </c>
      <c r="J39" s="395" t="s">
        <v>344</v>
      </c>
      <c r="K39" s="395"/>
      <c r="L39" s="407"/>
      <c r="M39" s="407"/>
      <c r="N39" s="66"/>
      <c r="O39" s="66"/>
      <c r="P39" s="66"/>
      <c r="Q39" s="67" t="s">
        <v>330</v>
      </c>
      <c r="R39" s="66"/>
      <c r="S39" s="66"/>
    </row>
    <row r="40" spans="2:19" ht="14.1" customHeight="1" x14ac:dyDescent="0.2">
      <c r="B40" s="50" t="s">
        <v>280</v>
      </c>
      <c r="C40" s="2"/>
      <c r="D40" s="2">
        <v>8</v>
      </c>
      <c r="E40" s="46"/>
      <c r="F40" s="52">
        <v>-0.13350000000000001</v>
      </c>
      <c r="J40" s="384" t="s">
        <v>334</v>
      </c>
      <c r="K40" s="384"/>
      <c r="L40" s="193">
        <f>IF(_CamFormat="NTSC/EIA",DATA!J26," ")</f>
        <v>0</v>
      </c>
      <c r="M40" s="66"/>
      <c r="N40" s="87" t="s">
        <v>329</v>
      </c>
      <c r="O40" s="88" t="s">
        <v>352</v>
      </c>
      <c r="P40" s="88"/>
      <c r="Q40" s="73">
        <f>IF(_CamFormat="PAL/CCIR"," ",-(69.03+(-0.066744*L40))*0.001)</f>
        <v>-6.9030000000000008E-2</v>
      </c>
      <c r="R40" s="66" t="s">
        <v>278</v>
      </c>
      <c r="S40" s="66"/>
    </row>
    <row r="41" spans="2:19" ht="14.1" customHeight="1" x14ac:dyDescent="0.2">
      <c r="B41" s="50" t="s">
        <v>281</v>
      </c>
      <c r="C41" s="2"/>
      <c r="D41" s="2">
        <v>16</v>
      </c>
      <c r="E41" s="46"/>
      <c r="F41" s="52">
        <v>-0.26690000000000003</v>
      </c>
      <c r="J41" s="66"/>
      <c r="K41" s="384" t="str">
        <f>+IF(L40&lt;0,"Can't be Negative!!",IF(L40&gt;479,"Too large!!"," "))</f>
        <v xml:space="preserve"> </v>
      </c>
      <c r="L41" s="378"/>
      <c r="M41" s="79"/>
      <c r="N41" s="87" t="s">
        <v>339</v>
      </c>
      <c r="O41" s="88" t="s">
        <v>352</v>
      </c>
      <c r="P41" s="88"/>
      <c r="Q41" s="73">
        <f>IF(_CamFormat="PAL/CCIR"," ",-(102.68+(-0.067282*L40))*0.001)</f>
        <v>-0.10268000000000001</v>
      </c>
      <c r="R41" s="66" t="s">
        <v>279</v>
      </c>
      <c r="S41" s="66"/>
    </row>
    <row r="42" spans="2:19" ht="14.1" customHeight="1" x14ac:dyDescent="0.2">
      <c r="B42" s="50" t="s">
        <v>282</v>
      </c>
      <c r="C42" s="2"/>
      <c r="D42" s="2">
        <v>32</v>
      </c>
      <c r="E42" s="46"/>
      <c r="F42" s="52">
        <v>-0.53390000000000004</v>
      </c>
      <c r="J42" s="66"/>
      <c r="K42" s="66"/>
      <c r="L42" s="66"/>
      <c r="M42" s="79"/>
      <c r="N42" s="87" t="s">
        <v>340</v>
      </c>
      <c r="O42" s="88" t="s">
        <v>352</v>
      </c>
      <c r="P42" s="88"/>
      <c r="Q42" s="73">
        <f>IF(_CamFormat="PAL/CCIR"," ",-(169.24+(-0.066563*L40))*0.001)</f>
        <v>-0.16924</v>
      </c>
      <c r="R42" s="66" t="s">
        <v>280</v>
      </c>
      <c r="S42" s="66"/>
    </row>
    <row r="43" spans="2:19" ht="14.1" customHeight="1" x14ac:dyDescent="0.2">
      <c r="B43" s="50" t="s">
        <v>283</v>
      </c>
      <c r="C43" s="2"/>
      <c r="D43" s="2">
        <v>64</v>
      </c>
      <c r="E43" s="46"/>
      <c r="F43" s="52">
        <v>-1.0677000000000001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</row>
    <row r="44" spans="2:19" ht="14.1" customHeight="1" x14ac:dyDescent="0.2">
      <c r="B44" s="50" t="s">
        <v>284</v>
      </c>
      <c r="C44" s="2"/>
      <c r="D44" s="2">
        <v>128</v>
      </c>
      <c r="E44" s="46"/>
      <c r="F44" s="52">
        <v>-2.1355</v>
      </c>
      <c r="J44" s="384" t="s">
        <v>335</v>
      </c>
      <c r="K44" s="384"/>
      <c r="L44" s="193">
        <f>IF(_CamFormat="NTSC/EIA",DATA!P26," ")</f>
        <v>0</v>
      </c>
      <c r="M44" s="78"/>
      <c r="N44" s="87" t="s">
        <v>329</v>
      </c>
      <c r="O44" s="88" t="s">
        <v>352</v>
      </c>
      <c r="P44" s="88"/>
      <c r="Q44" s="73">
        <f>IF(_CamFormat="PAL/CCIR"," ",-(69.03+(-0.066744*L44))*0.001)</f>
        <v>-6.9030000000000008E-2</v>
      </c>
      <c r="R44" s="66" t="s">
        <v>278</v>
      </c>
      <c r="S44" s="66"/>
    </row>
    <row r="45" spans="2:19" ht="14.1" customHeight="1" x14ac:dyDescent="0.2">
      <c r="B45" s="53" t="s">
        <v>285</v>
      </c>
      <c r="C45" s="54"/>
      <c r="D45" s="54">
        <v>256</v>
      </c>
      <c r="E45" s="55"/>
      <c r="F45" s="56">
        <v>-4.2709000000000001</v>
      </c>
      <c r="J45" s="66"/>
      <c r="K45" s="397" t="str">
        <f>+IF(DATA!P26&lt;0,"Can't be Negative!!",IF(DATA!P26&gt;479,"Too large!!"," "))</f>
        <v xml:space="preserve"> </v>
      </c>
      <c r="L45" s="398"/>
      <c r="M45" s="79"/>
      <c r="N45" s="87" t="s">
        <v>339</v>
      </c>
      <c r="O45" s="88" t="s">
        <v>352</v>
      </c>
      <c r="P45" s="88"/>
      <c r="Q45" s="73">
        <f>IF(_CamFormat="PAL/CCIR"," ",-(102.68+(-0.067282*L44))*0.001)</f>
        <v>-0.10268000000000001</v>
      </c>
      <c r="R45" s="66" t="s">
        <v>279</v>
      </c>
      <c r="S45" s="66"/>
    </row>
    <row r="46" spans="2:19" ht="14.1" customHeight="1" x14ac:dyDescent="0.2">
      <c r="J46" s="66"/>
      <c r="K46" s="66"/>
      <c r="L46" s="66"/>
      <c r="M46" s="79"/>
      <c r="N46" s="87" t="s">
        <v>340</v>
      </c>
      <c r="O46" s="88" t="s">
        <v>352</v>
      </c>
      <c r="P46" s="88"/>
      <c r="Q46" s="73">
        <f>IF(_CamFormat="PAL/CCIR"," ",-(169.24+(-0.066563*L44))*0.001)</f>
        <v>-0.16924</v>
      </c>
      <c r="R46" s="66" t="s">
        <v>280</v>
      </c>
      <c r="S46" s="66"/>
    </row>
    <row r="47" spans="2:19" x14ac:dyDescent="0.2">
      <c r="J47" s="395"/>
      <c r="K47" s="294"/>
      <c r="L47" s="294"/>
      <c r="M47" s="294"/>
      <c r="N47" s="294"/>
      <c r="O47" s="294"/>
      <c r="P47" s="294"/>
      <c r="Q47" s="294"/>
      <c r="R47" s="66"/>
      <c r="S47" s="66"/>
    </row>
    <row r="48" spans="2:19" x14ac:dyDescent="0.2">
      <c r="B48" s="388" t="s">
        <v>288</v>
      </c>
      <c r="C48" s="388"/>
      <c r="D48" s="388"/>
      <c r="E48" s="388"/>
      <c r="F48" s="389"/>
    </row>
    <row r="49" spans="2:19" ht="26.1" customHeight="1" x14ac:dyDescent="0.2">
      <c r="B49" s="378" t="s">
        <v>214</v>
      </c>
      <c r="C49" s="378"/>
      <c r="D49" s="378" t="s">
        <v>257</v>
      </c>
      <c r="E49" s="378" t="s">
        <v>258</v>
      </c>
      <c r="F49" s="392"/>
      <c r="G49" s="48"/>
      <c r="H49" s="48"/>
      <c r="J49" s="400" t="s">
        <v>331</v>
      </c>
      <c r="K49" s="400"/>
      <c r="L49" s="400"/>
      <c r="M49" s="400"/>
      <c r="N49" s="400"/>
      <c r="O49" s="400"/>
      <c r="P49" s="400"/>
      <c r="Q49" s="400"/>
      <c r="R49" s="66"/>
      <c r="S49" s="66"/>
    </row>
    <row r="50" spans="2:19" ht="18" customHeight="1" x14ac:dyDescent="0.2">
      <c r="D50" s="378"/>
      <c r="E50" s="2" t="s">
        <v>259</v>
      </c>
      <c r="F50" s="51" t="s">
        <v>260</v>
      </c>
      <c r="G50" s="394"/>
      <c r="H50" s="378"/>
      <c r="J50" s="66"/>
      <c r="K50" s="66"/>
      <c r="L50" s="383" t="s">
        <v>333</v>
      </c>
      <c r="M50" s="383"/>
      <c r="N50" s="383"/>
      <c r="O50" s="66"/>
      <c r="P50" s="66"/>
      <c r="Q50" s="66"/>
      <c r="R50" s="66"/>
      <c r="S50" s="66"/>
    </row>
    <row r="51" spans="2:19" ht="18" customHeight="1" x14ac:dyDescent="0.2">
      <c r="B51" s="2" t="s">
        <v>386</v>
      </c>
      <c r="D51" s="2">
        <v>0</v>
      </c>
      <c r="E51" s="2">
        <v>0</v>
      </c>
      <c r="F51" s="51">
        <v>0</v>
      </c>
      <c r="H51" s="2"/>
      <c r="J51" s="384"/>
      <c r="K51" s="384"/>
      <c r="L51" s="69"/>
      <c r="M51" s="66"/>
      <c r="N51" s="66"/>
      <c r="O51" s="66"/>
      <c r="P51" s="66"/>
      <c r="Q51" s="66"/>
      <c r="R51" s="66"/>
      <c r="S51" s="66"/>
    </row>
    <row r="52" spans="2:19" ht="14.1" customHeight="1" x14ac:dyDescent="0.2">
      <c r="B52" s="2" t="s">
        <v>278</v>
      </c>
      <c r="D52" s="2">
        <v>1</v>
      </c>
      <c r="E52" s="46">
        <v>-0.02</v>
      </c>
      <c r="F52" s="52">
        <v>-1.67E-2</v>
      </c>
      <c r="J52" s="384" t="s">
        <v>328</v>
      </c>
      <c r="K52" s="384"/>
      <c r="L52" s="77" t="s">
        <v>329</v>
      </c>
      <c r="M52" s="399" t="s">
        <v>342</v>
      </c>
      <c r="N52" s="384"/>
      <c r="O52" s="384"/>
      <c r="P52" s="384"/>
      <c r="Q52" s="384"/>
      <c r="R52" s="66"/>
      <c r="S52" s="66"/>
    </row>
    <row r="53" spans="2:19" ht="14.1" customHeight="1" x14ac:dyDescent="0.2">
      <c r="B53" s="2" t="s">
        <v>279</v>
      </c>
      <c r="D53" s="2">
        <v>3</v>
      </c>
      <c r="E53" s="46">
        <v>-0.06</v>
      </c>
      <c r="F53" s="52">
        <v>-5.0099999999999999E-2</v>
      </c>
      <c r="J53" s="395" t="s">
        <v>345</v>
      </c>
      <c r="K53" s="395"/>
      <c r="L53" s="407"/>
      <c r="M53" s="407"/>
      <c r="N53" s="66"/>
      <c r="O53" s="66"/>
      <c r="P53" s="66"/>
      <c r="Q53" s="67" t="s">
        <v>330</v>
      </c>
      <c r="R53" s="66"/>
      <c r="S53" s="66"/>
    </row>
    <row r="54" spans="2:19" ht="14.1" customHeight="1" x14ac:dyDescent="0.2">
      <c r="B54" s="57" t="s">
        <v>289</v>
      </c>
      <c r="C54" s="58"/>
      <c r="D54" s="57">
        <v>5</v>
      </c>
      <c r="E54" s="59">
        <v>-0.1</v>
      </c>
      <c r="F54" s="60">
        <v>-8.3400000000000002E-2</v>
      </c>
      <c r="H54" s="1"/>
      <c r="J54" s="384" t="s">
        <v>336</v>
      </c>
      <c r="K54" s="384"/>
      <c r="L54" s="193" t="str">
        <f>IF(_CamFormat="PAL/CCIR",DATA!J26," ")</f>
        <v xml:space="preserve"> </v>
      </c>
      <c r="M54" s="78"/>
      <c r="N54" s="87" t="s">
        <v>329</v>
      </c>
      <c r="O54" s="88" t="s">
        <v>352</v>
      </c>
      <c r="P54" s="88"/>
      <c r="Q54" s="73" t="str">
        <f>IF(_CamFormat="NTSC/EIA"," ",-(74.24+(-0.063143*L54))*0.001)</f>
        <v xml:space="preserve"> </v>
      </c>
      <c r="R54" s="66" t="s">
        <v>278</v>
      </c>
      <c r="S54" s="66"/>
    </row>
    <row r="55" spans="2:19" ht="14.1" customHeight="1" x14ac:dyDescent="0.2">
      <c r="B55" s="2" t="s">
        <v>280</v>
      </c>
      <c r="D55" s="2">
        <v>7</v>
      </c>
      <c r="E55" s="46">
        <v>-0.14000000000000001</v>
      </c>
      <c r="F55" s="52">
        <v>-0.1168</v>
      </c>
      <c r="J55" s="66"/>
      <c r="K55" s="384" t="str">
        <f>+IF(L54&lt;0,"Can't be Negative!!",IF(L54&gt;575,"Too large!!"," "))</f>
        <v>Too large!!</v>
      </c>
      <c r="L55" s="378"/>
      <c r="M55" s="79"/>
      <c r="N55" s="87" t="s">
        <v>339</v>
      </c>
      <c r="O55" s="88" t="s">
        <v>352</v>
      </c>
      <c r="P55" s="88"/>
      <c r="Q55" s="73" t="str">
        <f>IF(_CamFormat="NTSC/EIA"," ",-(114.12+(-0.062652*L54))*0.001)</f>
        <v xml:space="preserve"> </v>
      </c>
      <c r="R55" s="66" t="s">
        <v>279</v>
      </c>
      <c r="S55" s="66"/>
    </row>
    <row r="56" spans="2:19" ht="14.1" customHeight="1" x14ac:dyDescent="0.2">
      <c r="B56" s="57" t="s">
        <v>290</v>
      </c>
      <c r="C56" s="58"/>
      <c r="D56" s="57">
        <v>9</v>
      </c>
      <c r="E56" s="59">
        <v>-0.18</v>
      </c>
      <c r="F56" s="60">
        <v>-0.1502</v>
      </c>
      <c r="J56" s="66"/>
      <c r="K56" s="66"/>
      <c r="L56" s="66"/>
      <c r="M56" s="79"/>
      <c r="N56" s="87" t="s">
        <v>340</v>
      </c>
      <c r="O56" s="88" t="s">
        <v>352</v>
      </c>
      <c r="P56" s="88"/>
      <c r="Q56" s="73" t="str">
        <f>IF(_CamFormat="NTSC/EIA"," ",-(194.14+(-0.062402*L54))*0.001)</f>
        <v xml:space="preserve"> </v>
      </c>
      <c r="R56" s="66" t="s">
        <v>280</v>
      </c>
      <c r="S56" s="66"/>
    </row>
    <row r="57" spans="2:19" ht="14.1" customHeight="1" x14ac:dyDescent="0.2">
      <c r="B57" s="57" t="s">
        <v>281</v>
      </c>
      <c r="C57" s="58"/>
      <c r="D57" s="57">
        <v>15</v>
      </c>
      <c r="E57" s="59">
        <v>-0.3</v>
      </c>
      <c r="F57" s="60">
        <v>-0.25030000000000002</v>
      </c>
      <c r="J57" s="66"/>
      <c r="K57" s="66"/>
      <c r="L57" s="66"/>
      <c r="M57" s="66"/>
      <c r="N57" s="66"/>
      <c r="O57" s="66"/>
      <c r="P57" s="66"/>
      <c r="Q57" s="66"/>
      <c r="R57" s="66"/>
      <c r="S57" s="66"/>
    </row>
    <row r="58" spans="2:19" ht="14.1" customHeight="1" x14ac:dyDescent="0.2">
      <c r="B58" s="57" t="s">
        <v>291</v>
      </c>
      <c r="C58" s="58"/>
      <c r="D58" s="57">
        <v>23</v>
      </c>
      <c r="E58" s="59">
        <v>-0.46</v>
      </c>
      <c r="F58" s="60">
        <v>-0.38369999999999999</v>
      </c>
      <c r="J58" s="384" t="s">
        <v>337</v>
      </c>
      <c r="K58" s="384"/>
      <c r="L58" s="193" t="str">
        <f>IF(_CamFormat="PAL/CCIR",DATA!P26," ")</f>
        <v xml:space="preserve"> </v>
      </c>
      <c r="M58" s="78"/>
      <c r="N58" s="87" t="s">
        <v>329</v>
      </c>
      <c r="O58" s="88" t="s">
        <v>352</v>
      </c>
      <c r="P58" s="88"/>
      <c r="Q58" s="73" t="str">
        <f>IF(_CamFormat="NTSC/EIA"," ",-(74.24+(-0.063143*L58))*0.001)</f>
        <v xml:space="preserve"> </v>
      </c>
      <c r="R58" s="66" t="s">
        <v>278</v>
      </c>
      <c r="S58" s="66"/>
    </row>
    <row r="59" spans="2:19" ht="14.1" customHeight="1" x14ac:dyDescent="0.2">
      <c r="B59" s="2" t="s">
        <v>282</v>
      </c>
      <c r="D59" s="2">
        <v>31</v>
      </c>
      <c r="E59" s="46">
        <v>-0.62</v>
      </c>
      <c r="F59" s="52">
        <v>-0.51719999999999999</v>
      </c>
      <c r="J59" s="66"/>
      <c r="K59" s="397" t="str">
        <f>+IF(L58&lt;0,"Can't be Negative!!",IF(L58&gt;575,"Too large!!"," "))</f>
        <v>Too large!!</v>
      </c>
      <c r="L59" s="398"/>
      <c r="M59" s="79"/>
      <c r="N59" s="87" t="s">
        <v>339</v>
      </c>
      <c r="O59" s="88" t="s">
        <v>352</v>
      </c>
      <c r="P59" s="88"/>
      <c r="Q59" s="73" t="str">
        <f>IF(_CamFormat="NTSC/EIA"," ",-(114.12+(-0.062652*L58))*0.001)</f>
        <v xml:space="preserve"> </v>
      </c>
      <c r="R59" s="66" t="s">
        <v>279</v>
      </c>
      <c r="S59" s="66"/>
    </row>
    <row r="60" spans="2:19" ht="14.1" customHeight="1" x14ac:dyDescent="0.2">
      <c r="B60" s="57" t="s">
        <v>292</v>
      </c>
      <c r="C60" s="58"/>
      <c r="D60" s="57">
        <v>47</v>
      </c>
      <c r="E60" s="59">
        <v>-0.94</v>
      </c>
      <c r="F60" s="60">
        <v>-0.78410000000000002</v>
      </c>
      <c r="J60" s="66"/>
      <c r="K60" s="66"/>
      <c r="L60" s="66"/>
      <c r="M60" s="79"/>
      <c r="N60" s="87" t="s">
        <v>340</v>
      </c>
      <c r="O60" s="88" t="s">
        <v>352</v>
      </c>
      <c r="P60" s="88"/>
      <c r="Q60" s="73" t="str">
        <f>IF(_CamFormat="NTSC/EIA"," ",-(194.94+(-0.062463*L58))*0.001)</f>
        <v xml:space="preserve"> </v>
      </c>
      <c r="R60" s="66" t="s">
        <v>280</v>
      </c>
      <c r="S60" s="66"/>
    </row>
    <row r="61" spans="2:19" ht="14.1" customHeight="1" x14ac:dyDescent="0.2">
      <c r="B61" s="2" t="s">
        <v>283</v>
      </c>
      <c r="D61" s="61">
        <v>63</v>
      </c>
      <c r="E61" s="46">
        <v>-1.26</v>
      </c>
      <c r="F61" s="52">
        <v>-1.0510999999999999</v>
      </c>
      <c r="J61" s="395"/>
      <c r="K61" s="294"/>
      <c r="L61" s="294"/>
      <c r="M61" s="294"/>
      <c r="N61" s="294"/>
      <c r="O61" s="294"/>
      <c r="P61" s="294"/>
      <c r="Q61" s="294"/>
      <c r="R61" s="66"/>
      <c r="S61" s="66"/>
    </row>
    <row r="62" spans="2:19" ht="14.1" customHeight="1" x14ac:dyDescent="0.2">
      <c r="B62" s="57" t="s">
        <v>293</v>
      </c>
      <c r="C62" s="58"/>
      <c r="D62" s="57">
        <v>93</v>
      </c>
      <c r="E62" s="59">
        <v>-1.86</v>
      </c>
      <c r="F62" s="60">
        <v>-1.5516000000000001</v>
      </c>
    </row>
    <row r="63" spans="2:19" ht="14.1" customHeight="1" x14ac:dyDescent="0.2">
      <c r="B63" s="54" t="s">
        <v>284</v>
      </c>
      <c r="C63" s="62"/>
      <c r="D63" s="54">
        <v>127</v>
      </c>
      <c r="E63" s="55">
        <v>-2.54</v>
      </c>
      <c r="F63" s="56">
        <v>-2.1187999999999998</v>
      </c>
      <c r="J63" s="74"/>
      <c r="K63" s="385" t="s">
        <v>338</v>
      </c>
      <c r="L63" s="386"/>
      <c r="M63" s="386"/>
      <c r="N63" s="386"/>
      <c r="O63" s="386"/>
      <c r="P63" s="106"/>
    </row>
    <row r="64" spans="2:19" ht="14.1" customHeight="1" x14ac:dyDescent="0.2">
      <c r="C64" s="89"/>
      <c r="D64" s="90"/>
    </row>
    <row r="65" spans="2:35" ht="14.1" customHeight="1" x14ac:dyDescent="0.2">
      <c r="B65" s="390" t="s">
        <v>294</v>
      </c>
      <c r="C65" s="390"/>
      <c r="D65" s="390"/>
      <c r="E65" s="390"/>
      <c r="F65" s="390"/>
      <c r="H65" s="8"/>
      <c r="J65" s="32"/>
      <c r="K65" s="385" t="s">
        <v>343</v>
      </c>
      <c r="L65" s="386"/>
      <c r="M65" s="386"/>
      <c r="N65" s="386"/>
      <c r="O65" s="386"/>
      <c r="P65" s="386"/>
      <c r="Q65" s="391"/>
    </row>
    <row r="67" spans="2:35" x14ac:dyDescent="0.2">
      <c r="B67" s="387" t="s">
        <v>295</v>
      </c>
      <c r="C67" s="388"/>
      <c r="D67" s="388"/>
      <c r="E67" s="388"/>
      <c r="F67" s="389"/>
    </row>
    <row r="68" spans="2:35" ht="26.1" customHeight="1" x14ac:dyDescent="0.2">
      <c r="B68" s="394" t="s">
        <v>214</v>
      </c>
      <c r="C68" s="378"/>
      <c r="D68" s="378" t="s">
        <v>257</v>
      </c>
      <c r="E68" s="378" t="s">
        <v>258</v>
      </c>
      <c r="F68" s="392"/>
      <c r="G68" s="48"/>
      <c r="H68" s="48"/>
      <c r="J68" s="109" t="s">
        <v>447</v>
      </c>
    </row>
    <row r="69" spans="2:35" ht="18" customHeight="1" x14ac:dyDescent="0.2">
      <c r="B69" s="50" t="s">
        <v>296</v>
      </c>
      <c r="D69" s="378"/>
      <c r="E69" s="2" t="s">
        <v>259</v>
      </c>
      <c r="F69" s="51" t="s">
        <v>260</v>
      </c>
      <c r="G69" s="81"/>
      <c r="H69" s="80"/>
      <c r="I69" s="80"/>
      <c r="J69" s="113"/>
      <c r="K69" s="113" t="s">
        <v>448</v>
      </c>
      <c r="L69" s="115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27"/>
      <c r="AC69" s="408" t="s">
        <v>449</v>
      </c>
      <c r="AD69" s="409"/>
      <c r="AE69" s="409"/>
      <c r="AF69" s="409"/>
      <c r="AG69" s="409"/>
      <c r="AH69" s="409"/>
      <c r="AI69" s="410"/>
    </row>
    <row r="70" spans="2:35" ht="18" customHeight="1" x14ac:dyDescent="0.2">
      <c r="B70" s="50" t="s">
        <v>386</v>
      </c>
      <c r="D70" s="2">
        <v>1</v>
      </c>
      <c r="E70" s="46">
        <v>-0.02</v>
      </c>
      <c r="F70" s="52">
        <v>-1.67E-2</v>
      </c>
      <c r="G70" s="86"/>
      <c r="H70" s="71"/>
      <c r="I70" s="80"/>
      <c r="J70" s="113" t="s">
        <v>388</v>
      </c>
      <c r="K70" s="126" t="s">
        <v>116</v>
      </c>
      <c r="L70" s="123" t="s">
        <v>386</v>
      </c>
      <c r="M70" s="124" t="s">
        <v>278</v>
      </c>
      <c r="N70" s="124" t="s">
        <v>279</v>
      </c>
      <c r="O70" s="124" t="s">
        <v>289</v>
      </c>
      <c r="P70" s="124" t="s">
        <v>280</v>
      </c>
      <c r="Q70" s="123" t="s">
        <v>303</v>
      </c>
      <c r="R70" s="124" t="s">
        <v>290</v>
      </c>
      <c r="S70" s="123" t="s">
        <v>304</v>
      </c>
      <c r="T70" s="124" t="s">
        <v>281</v>
      </c>
      <c r="U70" s="124" t="s">
        <v>291</v>
      </c>
      <c r="V70" s="124" t="s">
        <v>282</v>
      </c>
      <c r="W70" s="124" t="s">
        <v>292</v>
      </c>
      <c r="X70" s="124" t="s">
        <v>283</v>
      </c>
      <c r="Y70" s="124" t="s">
        <v>293</v>
      </c>
      <c r="Z70" s="124" t="s">
        <v>284</v>
      </c>
      <c r="AA70" s="124" t="s">
        <v>285</v>
      </c>
      <c r="AB70" s="128" t="s">
        <v>305</v>
      </c>
      <c r="AC70" s="169" t="s">
        <v>199</v>
      </c>
      <c r="AD70" s="169" t="s">
        <v>206</v>
      </c>
      <c r="AE70" s="170" t="s">
        <v>445</v>
      </c>
      <c r="AF70" s="172" t="s">
        <v>203</v>
      </c>
      <c r="AG70" s="170" t="s">
        <v>398</v>
      </c>
      <c r="AH70" s="170" t="s">
        <v>399</v>
      </c>
      <c r="AI70" s="170" t="s">
        <v>401</v>
      </c>
    </row>
    <row r="71" spans="2:35" ht="14.1" customHeight="1" x14ac:dyDescent="0.2">
      <c r="B71" s="50" t="s">
        <v>278</v>
      </c>
      <c r="D71" s="2">
        <v>2</v>
      </c>
      <c r="E71" s="46">
        <v>-0.04</v>
      </c>
      <c r="F71" s="52">
        <v>-3.3399999999999999E-2</v>
      </c>
      <c r="G71" s="82"/>
      <c r="H71" s="46"/>
      <c r="I71" s="71"/>
      <c r="J71" s="126" t="s">
        <v>217</v>
      </c>
      <c r="K71" s="112" t="s">
        <v>393</v>
      </c>
      <c r="L71" s="112" t="s">
        <v>394</v>
      </c>
      <c r="M71" s="112" t="s">
        <v>394</v>
      </c>
      <c r="N71" s="112" t="s">
        <v>394</v>
      </c>
      <c r="O71" s="112" t="s">
        <v>394</v>
      </c>
      <c r="P71" s="112" t="s">
        <v>394</v>
      </c>
      <c r="Q71" s="112" t="s">
        <v>394</v>
      </c>
      <c r="R71" s="112" t="s">
        <v>394</v>
      </c>
      <c r="S71" s="112" t="s">
        <v>394</v>
      </c>
      <c r="T71" s="112" t="s">
        <v>394</v>
      </c>
      <c r="U71" s="112" t="s">
        <v>394</v>
      </c>
      <c r="V71" s="112" t="s">
        <v>394</v>
      </c>
      <c r="W71" s="112" t="s">
        <v>394</v>
      </c>
      <c r="X71" s="112" t="s">
        <v>394</v>
      </c>
      <c r="Y71" s="112" t="s">
        <v>394</v>
      </c>
      <c r="Z71" s="112" t="s">
        <v>394</v>
      </c>
      <c r="AA71" s="112" t="s">
        <v>394</v>
      </c>
      <c r="AB71" s="112" t="s">
        <v>394</v>
      </c>
      <c r="AC71" s="112" t="s">
        <v>393</v>
      </c>
      <c r="AD71" s="112" t="s">
        <v>393</v>
      </c>
      <c r="AE71" s="112" t="s">
        <v>394</v>
      </c>
      <c r="AF71" s="112" t="s">
        <v>394</v>
      </c>
      <c r="AG71" s="112" t="s">
        <v>394</v>
      </c>
      <c r="AH71" s="112" t="s">
        <v>394</v>
      </c>
      <c r="AI71" s="112" t="s">
        <v>394</v>
      </c>
    </row>
    <row r="72" spans="2:35" ht="14.1" customHeight="1" x14ac:dyDescent="0.2">
      <c r="B72" s="50" t="s">
        <v>279</v>
      </c>
      <c r="D72" s="2">
        <v>4</v>
      </c>
      <c r="E72" s="46">
        <v>-0.08</v>
      </c>
      <c r="F72" s="52">
        <v>-6.6699999999999995E-2</v>
      </c>
      <c r="G72" s="46"/>
      <c r="H72" s="46"/>
      <c r="J72" s="126" t="s">
        <v>219</v>
      </c>
      <c r="K72" s="112" t="s">
        <v>393</v>
      </c>
      <c r="L72" s="112" t="s">
        <v>394</v>
      </c>
      <c r="M72" s="112" t="s">
        <v>394</v>
      </c>
      <c r="N72" s="112" t="s">
        <v>394</v>
      </c>
      <c r="O72" s="112" t="s">
        <v>394</v>
      </c>
      <c r="P72" s="112" t="s">
        <v>394</v>
      </c>
      <c r="Q72" s="112" t="s">
        <v>394</v>
      </c>
      <c r="R72" s="112" t="s">
        <v>394</v>
      </c>
      <c r="S72" s="112" t="s">
        <v>394</v>
      </c>
      <c r="T72" s="112" t="s">
        <v>394</v>
      </c>
      <c r="U72" s="112" t="s">
        <v>394</v>
      </c>
      <c r="V72" s="112" t="s">
        <v>394</v>
      </c>
      <c r="W72" s="112" t="s">
        <v>394</v>
      </c>
      <c r="X72" s="112" t="s">
        <v>394</v>
      </c>
      <c r="Y72" s="112" t="s">
        <v>394</v>
      </c>
      <c r="Z72" s="112" t="s">
        <v>394</v>
      </c>
      <c r="AA72" s="112" t="s">
        <v>394</v>
      </c>
      <c r="AB72" s="112" t="s">
        <v>394</v>
      </c>
      <c r="AC72" s="112" t="s">
        <v>393</v>
      </c>
      <c r="AD72" s="112" t="s">
        <v>393</v>
      </c>
      <c r="AE72" s="112" t="s">
        <v>394</v>
      </c>
      <c r="AF72" s="112" t="s">
        <v>394</v>
      </c>
      <c r="AG72" s="112" t="s">
        <v>394</v>
      </c>
      <c r="AH72" s="112" t="s">
        <v>394</v>
      </c>
      <c r="AI72" s="112" t="s">
        <v>394</v>
      </c>
    </row>
    <row r="73" spans="2:35" ht="14.1" customHeight="1" x14ac:dyDescent="0.2">
      <c r="B73" s="63" t="s">
        <v>289</v>
      </c>
      <c r="C73" s="64"/>
      <c r="D73" s="57">
        <v>6</v>
      </c>
      <c r="E73" s="59">
        <v>-0.12</v>
      </c>
      <c r="F73" s="60">
        <v>-0.10009999999999999</v>
      </c>
      <c r="G73" s="46"/>
      <c r="H73" s="46"/>
      <c r="J73" s="121" t="s">
        <v>221</v>
      </c>
      <c r="K73" s="112" t="s">
        <v>394</v>
      </c>
      <c r="L73" s="112" t="s">
        <v>393</v>
      </c>
      <c r="M73" s="112" t="s">
        <v>393</v>
      </c>
      <c r="N73" s="112" t="s">
        <v>393</v>
      </c>
      <c r="O73" s="112" t="s">
        <v>394</v>
      </c>
      <c r="P73" s="112" t="s">
        <v>393</v>
      </c>
      <c r="Q73" s="112" t="s">
        <v>394</v>
      </c>
      <c r="R73" s="112" t="s">
        <v>394</v>
      </c>
      <c r="S73" s="112" t="s">
        <v>394</v>
      </c>
      <c r="T73" s="112" t="s">
        <v>393</v>
      </c>
      <c r="U73" s="112" t="s">
        <v>394</v>
      </c>
      <c r="V73" s="112" t="s">
        <v>393</v>
      </c>
      <c r="W73" s="112" t="s">
        <v>394</v>
      </c>
      <c r="X73" s="112" t="s">
        <v>393</v>
      </c>
      <c r="Y73" s="112" t="s">
        <v>394</v>
      </c>
      <c r="Z73" s="112" t="s">
        <v>393</v>
      </c>
      <c r="AA73" s="112" t="s">
        <v>393</v>
      </c>
      <c r="AB73" s="112" t="s">
        <v>394</v>
      </c>
      <c r="AC73" s="112" t="s">
        <v>393</v>
      </c>
      <c r="AD73" s="112" t="s">
        <v>393</v>
      </c>
      <c r="AE73" s="112" t="s">
        <v>393</v>
      </c>
      <c r="AF73" s="112" t="s">
        <v>393</v>
      </c>
      <c r="AG73" s="112" t="s">
        <v>393</v>
      </c>
      <c r="AH73" s="112" t="s">
        <v>393</v>
      </c>
      <c r="AI73" s="112" t="s">
        <v>393</v>
      </c>
    </row>
    <row r="74" spans="2:35" ht="14.1" customHeight="1" x14ac:dyDescent="0.2">
      <c r="B74" s="50" t="s">
        <v>280</v>
      </c>
      <c r="D74" s="2">
        <v>8</v>
      </c>
      <c r="E74" s="46">
        <v>-0.16</v>
      </c>
      <c r="F74" s="52">
        <v>-0.13350000000000001</v>
      </c>
      <c r="G74" s="49"/>
      <c r="H74" s="49"/>
      <c r="J74" s="122" t="s">
        <v>223</v>
      </c>
      <c r="K74" s="112" t="s">
        <v>394</v>
      </c>
      <c r="L74" s="112" t="s">
        <v>393</v>
      </c>
      <c r="M74" s="112" t="s">
        <v>394</v>
      </c>
      <c r="N74" s="112" t="s">
        <v>394</v>
      </c>
      <c r="O74" s="112" t="s">
        <v>394</v>
      </c>
      <c r="P74" s="112" t="s">
        <v>394</v>
      </c>
      <c r="Q74" s="112" t="s">
        <v>394</v>
      </c>
      <c r="R74" s="112" t="s">
        <v>394</v>
      </c>
      <c r="S74" s="112" t="s">
        <v>394</v>
      </c>
      <c r="T74" s="112" t="s">
        <v>394</v>
      </c>
      <c r="U74" s="112" t="s">
        <v>394</v>
      </c>
      <c r="V74" s="112" t="s">
        <v>394</v>
      </c>
      <c r="W74" s="112" t="s">
        <v>394</v>
      </c>
      <c r="X74" s="112" t="s">
        <v>394</v>
      </c>
      <c r="Y74" s="112" t="s">
        <v>394</v>
      </c>
      <c r="Z74" s="112" t="s">
        <v>394</v>
      </c>
      <c r="AA74" s="112" t="s">
        <v>394</v>
      </c>
      <c r="AB74" s="112" t="s">
        <v>394</v>
      </c>
      <c r="AC74" s="112" t="s">
        <v>393</v>
      </c>
      <c r="AD74" s="112" t="s">
        <v>393</v>
      </c>
      <c r="AE74" s="112" t="s">
        <v>393</v>
      </c>
      <c r="AF74" s="112" t="s">
        <v>393</v>
      </c>
      <c r="AG74" s="112" t="s">
        <v>393</v>
      </c>
      <c r="AH74" s="112" t="s">
        <v>393</v>
      </c>
      <c r="AI74" s="112" t="s">
        <v>393</v>
      </c>
    </row>
    <row r="75" spans="2:35" ht="14.1" customHeight="1" x14ac:dyDescent="0.2">
      <c r="B75" s="63" t="s">
        <v>290</v>
      </c>
      <c r="C75" s="64"/>
      <c r="D75" s="57">
        <v>10</v>
      </c>
      <c r="E75" s="59">
        <v>-0.2</v>
      </c>
      <c r="F75" s="60">
        <v>-0.1668</v>
      </c>
      <c r="G75" s="46"/>
      <c r="H75" s="46"/>
      <c r="J75" s="122" t="s">
        <v>225</v>
      </c>
      <c r="K75" s="112" t="s">
        <v>394</v>
      </c>
      <c r="L75" s="112" t="s">
        <v>393</v>
      </c>
      <c r="M75" s="112" t="s">
        <v>394</v>
      </c>
      <c r="N75" s="112" t="s">
        <v>394</v>
      </c>
      <c r="O75" s="112" t="s">
        <v>394</v>
      </c>
      <c r="P75" s="112" t="s">
        <v>394</v>
      </c>
      <c r="Q75" s="112" t="s">
        <v>394</v>
      </c>
      <c r="R75" s="112" t="s">
        <v>394</v>
      </c>
      <c r="S75" s="112" t="s">
        <v>394</v>
      </c>
      <c r="T75" s="112" t="s">
        <v>394</v>
      </c>
      <c r="U75" s="112" t="s">
        <v>394</v>
      </c>
      <c r="V75" s="112" t="s">
        <v>394</v>
      </c>
      <c r="W75" s="112" t="s">
        <v>394</v>
      </c>
      <c r="X75" s="112" t="s">
        <v>394</v>
      </c>
      <c r="Y75" s="112" t="s">
        <v>394</v>
      </c>
      <c r="Z75" s="112" t="s">
        <v>394</v>
      </c>
      <c r="AA75" s="112" t="s">
        <v>394</v>
      </c>
      <c r="AB75" s="112" t="s">
        <v>394</v>
      </c>
      <c r="AC75" s="112" t="s">
        <v>393</v>
      </c>
      <c r="AD75" s="112" t="s">
        <v>393</v>
      </c>
      <c r="AE75" s="112" t="s">
        <v>393</v>
      </c>
      <c r="AF75" s="112" t="s">
        <v>393</v>
      </c>
      <c r="AG75" s="112" t="s">
        <v>393</v>
      </c>
      <c r="AH75" s="112" t="s">
        <v>393</v>
      </c>
      <c r="AI75" s="112" t="s">
        <v>393</v>
      </c>
    </row>
    <row r="76" spans="2:35" ht="14.1" customHeight="1" x14ac:dyDescent="0.2">
      <c r="B76" s="50" t="s">
        <v>281</v>
      </c>
      <c r="D76" s="2">
        <v>16</v>
      </c>
      <c r="E76" s="46">
        <v>-0.32</v>
      </c>
      <c r="F76" s="52">
        <v>-0.26690000000000003</v>
      </c>
      <c r="G76" s="49"/>
      <c r="H76" s="49"/>
      <c r="J76" s="122" t="s">
        <v>228</v>
      </c>
      <c r="K76" s="112" t="s">
        <v>394</v>
      </c>
      <c r="L76" s="112" t="s">
        <v>393</v>
      </c>
      <c r="M76" s="112" t="s">
        <v>393</v>
      </c>
      <c r="N76" s="112" t="s">
        <v>393</v>
      </c>
      <c r="O76" s="112" t="s">
        <v>394</v>
      </c>
      <c r="P76" s="112" t="s">
        <v>393</v>
      </c>
      <c r="Q76" s="112" t="s">
        <v>394</v>
      </c>
      <c r="R76" s="112" t="s">
        <v>394</v>
      </c>
      <c r="S76" s="112" t="s">
        <v>394</v>
      </c>
      <c r="T76" s="112" t="s">
        <v>393</v>
      </c>
      <c r="U76" s="112" t="s">
        <v>394</v>
      </c>
      <c r="V76" s="112" t="s">
        <v>393</v>
      </c>
      <c r="W76" s="112" t="s">
        <v>394</v>
      </c>
      <c r="X76" s="112" t="s">
        <v>393</v>
      </c>
      <c r="Y76" s="112" t="s">
        <v>394</v>
      </c>
      <c r="Z76" s="112" t="s">
        <v>393</v>
      </c>
      <c r="AA76" s="112" t="s">
        <v>393</v>
      </c>
      <c r="AB76" s="112" t="s">
        <v>393</v>
      </c>
      <c r="AC76" s="112" t="s">
        <v>393</v>
      </c>
      <c r="AD76" s="112" t="s">
        <v>393</v>
      </c>
      <c r="AE76" s="112" t="s">
        <v>393</v>
      </c>
      <c r="AF76" s="112" t="s">
        <v>393</v>
      </c>
      <c r="AG76" s="112" t="s">
        <v>393</v>
      </c>
      <c r="AH76" s="112" t="s">
        <v>393</v>
      </c>
      <c r="AI76" s="112" t="s">
        <v>393</v>
      </c>
    </row>
    <row r="77" spans="2:35" ht="14.1" customHeight="1" x14ac:dyDescent="0.2">
      <c r="B77" s="63" t="s">
        <v>291</v>
      </c>
      <c r="C77" s="64"/>
      <c r="D77" s="57">
        <v>24</v>
      </c>
      <c r="E77" s="59">
        <v>-0.48</v>
      </c>
      <c r="F77" s="60">
        <v>-0.40039999999999998</v>
      </c>
      <c r="G77" s="46"/>
      <c r="H77" s="46"/>
      <c r="J77" s="122" t="s">
        <v>230</v>
      </c>
      <c r="K77" s="112" t="s">
        <v>394</v>
      </c>
      <c r="L77" s="112" t="s">
        <v>393</v>
      </c>
      <c r="M77" s="112" t="s">
        <v>393</v>
      </c>
      <c r="N77" s="112" t="s">
        <v>393</v>
      </c>
      <c r="O77" s="112" t="s">
        <v>394</v>
      </c>
      <c r="P77" s="112" t="s">
        <v>393</v>
      </c>
      <c r="Q77" s="112" t="s">
        <v>394</v>
      </c>
      <c r="R77" s="112" t="s">
        <v>394</v>
      </c>
      <c r="S77" s="112" t="s">
        <v>394</v>
      </c>
      <c r="T77" s="112" t="s">
        <v>393</v>
      </c>
      <c r="U77" s="112" t="s">
        <v>394</v>
      </c>
      <c r="V77" s="112" t="s">
        <v>393</v>
      </c>
      <c r="W77" s="112" t="s">
        <v>394</v>
      </c>
      <c r="X77" s="112" t="s">
        <v>393</v>
      </c>
      <c r="Y77" s="112" t="s">
        <v>394</v>
      </c>
      <c r="Z77" s="112" t="s">
        <v>393</v>
      </c>
      <c r="AA77" s="112" t="s">
        <v>393</v>
      </c>
      <c r="AB77" s="112" t="s">
        <v>393</v>
      </c>
      <c r="AC77" s="112" t="s">
        <v>393</v>
      </c>
      <c r="AD77" s="112" t="s">
        <v>393</v>
      </c>
      <c r="AE77" s="112" t="s">
        <v>393</v>
      </c>
      <c r="AF77" s="112" t="s">
        <v>393</v>
      </c>
      <c r="AG77" s="112" t="s">
        <v>393</v>
      </c>
      <c r="AH77" s="112" t="s">
        <v>393</v>
      </c>
      <c r="AI77" s="112" t="s">
        <v>393</v>
      </c>
    </row>
    <row r="78" spans="2:35" ht="14.1" customHeight="1" x14ac:dyDescent="0.2">
      <c r="B78" s="50" t="s">
        <v>282</v>
      </c>
      <c r="D78" s="2">
        <v>32</v>
      </c>
      <c r="E78" s="46">
        <v>-0.64</v>
      </c>
      <c r="F78" s="52">
        <v>-0.53390000000000004</v>
      </c>
      <c r="G78" s="49"/>
      <c r="H78" s="49"/>
      <c r="J78" s="122" t="s">
        <v>231</v>
      </c>
      <c r="K78" s="112" t="s">
        <v>394</v>
      </c>
      <c r="L78" s="112" t="s">
        <v>393</v>
      </c>
      <c r="M78" s="112" t="s">
        <v>393</v>
      </c>
      <c r="N78" s="112" t="s">
        <v>393</v>
      </c>
      <c r="O78" s="112" t="s">
        <v>394</v>
      </c>
      <c r="P78" s="112" t="s">
        <v>393</v>
      </c>
      <c r="Q78" s="112" t="s">
        <v>394</v>
      </c>
      <c r="R78" s="112" t="s">
        <v>394</v>
      </c>
      <c r="S78" s="112" t="s">
        <v>394</v>
      </c>
      <c r="T78" s="112" t="s">
        <v>393</v>
      </c>
      <c r="U78" s="112" t="s">
        <v>394</v>
      </c>
      <c r="V78" s="112" t="s">
        <v>393</v>
      </c>
      <c r="W78" s="112" t="s">
        <v>394</v>
      </c>
      <c r="X78" s="112" t="s">
        <v>393</v>
      </c>
      <c r="Y78" s="112" t="s">
        <v>394</v>
      </c>
      <c r="Z78" s="112" t="s">
        <v>393</v>
      </c>
      <c r="AA78" s="112" t="s">
        <v>393</v>
      </c>
      <c r="AB78" s="112" t="s">
        <v>394</v>
      </c>
      <c r="AC78" s="112" t="s">
        <v>393</v>
      </c>
      <c r="AD78" s="112" t="s">
        <v>393</v>
      </c>
      <c r="AE78" s="112" t="s">
        <v>393</v>
      </c>
      <c r="AF78" s="112" t="s">
        <v>393</v>
      </c>
      <c r="AG78" s="112" t="s">
        <v>393</v>
      </c>
      <c r="AH78" s="112" t="s">
        <v>393</v>
      </c>
      <c r="AI78" s="112" t="s">
        <v>393</v>
      </c>
    </row>
    <row r="79" spans="2:35" ht="14.1" customHeight="1" x14ac:dyDescent="0.2">
      <c r="B79" s="63" t="s">
        <v>292</v>
      </c>
      <c r="C79" s="64"/>
      <c r="D79" s="57">
        <v>48</v>
      </c>
      <c r="E79" s="59">
        <v>-0.96</v>
      </c>
      <c r="F79" s="60">
        <v>-0.80079999999999996</v>
      </c>
      <c r="G79" s="46"/>
      <c r="H79" s="46"/>
      <c r="J79" s="122" t="s">
        <v>233</v>
      </c>
      <c r="K79" s="112" t="s">
        <v>394</v>
      </c>
      <c r="L79" s="112" t="s">
        <v>393</v>
      </c>
      <c r="M79" s="112" t="s">
        <v>393</v>
      </c>
      <c r="N79" s="112" t="s">
        <v>393</v>
      </c>
      <c r="O79" s="112" t="s">
        <v>394</v>
      </c>
      <c r="P79" s="112" t="s">
        <v>393</v>
      </c>
      <c r="Q79" s="112" t="s">
        <v>394</v>
      </c>
      <c r="R79" s="112" t="s">
        <v>394</v>
      </c>
      <c r="S79" s="112" t="s">
        <v>394</v>
      </c>
      <c r="T79" s="112" t="s">
        <v>393</v>
      </c>
      <c r="U79" s="112" t="s">
        <v>394</v>
      </c>
      <c r="V79" s="112" t="s">
        <v>393</v>
      </c>
      <c r="W79" s="112" t="s">
        <v>394</v>
      </c>
      <c r="X79" s="112" t="s">
        <v>393</v>
      </c>
      <c r="Y79" s="112" t="s">
        <v>394</v>
      </c>
      <c r="Z79" s="112" t="s">
        <v>393</v>
      </c>
      <c r="AA79" s="112" t="s">
        <v>393</v>
      </c>
      <c r="AB79" s="112" t="s">
        <v>394</v>
      </c>
      <c r="AC79" s="112" t="s">
        <v>393</v>
      </c>
      <c r="AD79" s="112" t="s">
        <v>393</v>
      </c>
      <c r="AE79" s="112" t="s">
        <v>393</v>
      </c>
      <c r="AF79" s="112" t="s">
        <v>393</v>
      </c>
      <c r="AG79" s="112" t="s">
        <v>393</v>
      </c>
      <c r="AH79" s="112" t="s">
        <v>393</v>
      </c>
      <c r="AI79" s="112" t="s">
        <v>393</v>
      </c>
    </row>
    <row r="80" spans="2:35" ht="14.1" customHeight="1" x14ac:dyDescent="0.2">
      <c r="B80" s="50" t="s">
        <v>283</v>
      </c>
      <c r="D80" s="2">
        <v>64</v>
      </c>
      <c r="E80" s="46">
        <v>-1.28</v>
      </c>
      <c r="F80" s="52">
        <v>-1.0677000000000001</v>
      </c>
      <c r="G80" s="49"/>
      <c r="H80" s="49"/>
      <c r="J80" s="122" t="s">
        <v>235</v>
      </c>
      <c r="K80" s="112" t="s">
        <v>394</v>
      </c>
      <c r="L80" s="112" t="s">
        <v>393</v>
      </c>
      <c r="M80" s="112" t="s">
        <v>394</v>
      </c>
      <c r="N80" s="112" t="s">
        <v>394</v>
      </c>
      <c r="O80" s="112" t="s">
        <v>394</v>
      </c>
      <c r="P80" s="112" t="s">
        <v>394</v>
      </c>
      <c r="Q80" s="112" t="s">
        <v>394</v>
      </c>
      <c r="R80" s="112" t="s">
        <v>394</v>
      </c>
      <c r="S80" s="112" t="s">
        <v>394</v>
      </c>
      <c r="T80" s="112" t="s">
        <v>394</v>
      </c>
      <c r="U80" s="112" t="s">
        <v>394</v>
      </c>
      <c r="V80" s="112" t="s">
        <v>394</v>
      </c>
      <c r="W80" s="112" t="s">
        <v>394</v>
      </c>
      <c r="X80" s="112" t="s">
        <v>394</v>
      </c>
      <c r="Y80" s="112" t="s">
        <v>394</v>
      </c>
      <c r="Z80" s="112" t="s">
        <v>394</v>
      </c>
      <c r="AA80" s="112" t="s">
        <v>394</v>
      </c>
      <c r="AB80" s="112" t="s">
        <v>394</v>
      </c>
      <c r="AC80" s="112" t="s">
        <v>393</v>
      </c>
      <c r="AD80" s="112" t="s">
        <v>393</v>
      </c>
      <c r="AE80" s="112" t="s">
        <v>393</v>
      </c>
      <c r="AF80" s="112" t="s">
        <v>393</v>
      </c>
      <c r="AG80" s="112" t="s">
        <v>393</v>
      </c>
      <c r="AH80" s="112" t="s">
        <v>393</v>
      </c>
      <c r="AI80" s="112" t="s">
        <v>393</v>
      </c>
    </row>
    <row r="81" spans="2:35" ht="14.1" customHeight="1" x14ac:dyDescent="0.2">
      <c r="B81" s="63" t="s">
        <v>293</v>
      </c>
      <c r="C81" s="64"/>
      <c r="D81" s="57">
        <v>94</v>
      </c>
      <c r="E81" s="59">
        <v>-1.88</v>
      </c>
      <c r="F81" s="60">
        <v>-1.5682</v>
      </c>
      <c r="G81" s="46"/>
      <c r="H81" s="46"/>
      <c r="J81" s="122" t="s">
        <v>236</v>
      </c>
      <c r="K81" s="112" t="s">
        <v>394</v>
      </c>
      <c r="L81" s="112" t="s">
        <v>393</v>
      </c>
      <c r="M81" s="112" t="s">
        <v>393</v>
      </c>
      <c r="N81" s="110" t="s">
        <v>393</v>
      </c>
      <c r="O81" s="110" t="s">
        <v>393</v>
      </c>
      <c r="P81" s="110" t="s">
        <v>393</v>
      </c>
      <c r="Q81" s="110" t="s">
        <v>394</v>
      </c>
      <c r="R81" s="110" t="s">
        <v>393</v>
      </c>
      <c r="S81" s="110" t="s">
        <v>394</v>
      </c>
      <c r="T81" s="110" t="s">
        <v>393</v>
      </c>
      <c r="U81" s="110" t="s">
        <v>393</v>
      </c>
      <c r="V81" s="110" t="s">
        <v>393</v>
      </c>
      <c r="W81" s="110" t="s">
        <v>393</v>
      </c>
      <c r="X81" s="110" t="s">
        <v>393</v>
      </c>
      <c r="Y81" s="110" t="s">
        <v>393</v>
      </c>
      <c r="Z81" s="110" t="s">
        <v>393</v>
      </c>
      <c r="AA81" s="112" t="s">
        <v>394</v>
      </c>
      <c r="AB81" s="112" t="s">
        <v>394</v>
      </c>
      <c r="AC81" s="112" t="s">
        <v>393</v>
      </c>
      <c r="AD81" s="112" t="s">
        <v>393</v>
      </c>
      <c r="AE81" s="112" t="s">
        <v>393</v>
      </c>
      <c r="AF81" s="112" t="s">
        <v>393</v>
      </c>
      <c r="AG81" s="112" t="s">
        <v>393</v>
      </c>
      <c r="AH81" s="112" t="s">
        <v>393</v>
      </c>
      <c r="AI81" s="112" t="s">
        <v>393</v>
      </c>
    </row>
    <row r="82" spans="2:35" ht="14.1" customHeight="1" x14ac:dyDescent="0.2">
      <c r="B82" s="53" t="s">
        <v>284</v>
      </c>
      <c r="C82" s="62"/>
      <c r="D82" s="54">
        <v>128</v>
      </c>
      <c r="E82" s="55">
        <v>-2.56</v>
      </c>
      <c r="F82" s="56">
        <v>-2.1355</v>
      </c>
      <c r="G82" s="49"/>
      <c r="H82" s="49"/>
      <c r="J82" s="122" t="s">
        <v>238</v>
      </c>
      <c r="K82" s="112" t="s">
        <v>394</v>
      </c>
      <c r="L82" s="112" t="s">
        <v>393</v>
      </c>
      <c r="M82" s="112" t="s">
        <v>393</v>
      </c>
      <c r="N82" s="110" t="s">
        <v>393</v>
      </c>
      <c r="O82" s="110" t="s">
        <v>393</v>
      </c>
      <c r="P82" s="110" t="s">
        <v>393</v>
      </c>
      <c r="Q82" s="110" t="s">
        <v>394</v>
      </c>
      <c r="R82" s="110" t="s">
        <v>393</v>
      </c>
      <c r="S82" s="110" t="s">
        <v>394</v>
      </c>
      <c r="T82" s="110" t="s">
        <v>393</v>
      </c>
      <c r="U82" s="110" t="s">
        <v>393</v>
      </c>
      <c r="V82" s="110" t="s">
        <v>393</v>
      </c>
      <c r="W82" s="110" t="s">
        <v>393</v>
      </c>
      <c r="X82" s="110" t="s">
        <v>393</v>
      </c>
      <c r="Y82" s="110" t="s">
        <v>393</v>
      </c>
      <c r="Z82" s="110" t="s">
        <v>393</v>
      </c>
      <c r="AA82" s="112" t="s">
        <v>394</v>
      </c>
      <c r="AB82" s="112" t="s">
        <v>394</v>
      </c>
      <c r="AC82" s="112" t="s">
        <v>393</v>
      </c>
      <c r="AD82" s="112" t="s">
        <v>393</v>
      </c>
      <c r="AE82" s="112" t="s">
        <v>393</v>
      </c>
      <c r="AF82" s="112" t="s">
        <v>393</v>
      </c>
      <c r="AG82" s="112" t="s">
        <v>393</v>
      </c>
      <c r="AH82" s="112" t="s">
        <v>393</v>
      </c>
      <c r="AI82" s="112" t="s">
        <v>393</v>
      </c>
    </row>
    <row r="83" spans="2:35" ht="14.1" customHeight="1" x14ac:dyDescent="0.2">
      <c r="G83" s="46"/>
      <c r="H83" s="46"/>
      <c r="J83" s="185" t="s">
        <v>446</v>
      </c>
      <c r="K83" s="112" t="s">
        <v>393</v>
      </c>
      <c r="L83" s="112" t="s">
        <v>394</v>
      </c>
      <c r="M83" s="112" t="s">
        <v>394</v>
      </c>
      <c r="N83" s="112" t="s">
        <v>394</v>
      </c>
      <c r="O83" s="112" t="s">
        <v>394</v>
      </c>
      <c r="P83" s="112" t="s">
        <v>394</v>
      </c>
      <c r="Q83" s="112" t="s">
        <v>394</v>
      </c>
      <c r="R83" s="112" t="s">
        <v>394</v>
      </c>
      <c r="S83" s="112" t="s">
        <v>394</v>
      </c>
      <c r="T83" s="112" t="s">
        <v>394</v>
      </c>
      <c r="U83" s="112" t="s">
        <v>394</v>
      </c>
      <c r="V83" s="112" t="s">
        <v>394</v>
      </c>
      <c r="W83" s="112" t="s">
        <v>394</v>
      </c>
      <c r="X83" s="112" t="s">
        <v>394</v>
      </c>
      <c r="Y83" s="112" t="s">
        <v>394</v>
      </c>
      <c r="Z83" s="112" t="s">
        <v>394</v>
      </c>
      <c r="AA83" s="112" t="s">
        <v>394</v>
      </c>
      <c r="AB83" s="112" t="s">
        <v>394</v>
      </c>
      <c r="AC83" s="112" t="s">
        <v>393</v>
      </c>
      <c r="AD83" s="112" t="s">
        <v>393</v>
      </c>
      <c r="AE83" s="112" t="s">
        <v>393</v>
      </c>
      <c r="AF83" s="112" t="s">
        <v>393</v>
      </c>
      <c r="AG83" s="112" t="s">
        <v>393</v>
      </c>
      <c r="AH83" s="112" t="s">
        <v>393</v>
      </c>
      <c r="AI83" s="112" t="s">
        <v>394</v>
      </c>
    </row>
    <row r="84" spans="2:35" ht="14.1" customHeight="1" x14ac:dyDescent="0.2">
      <c r="B84" s="390" t="s">
        <v>294</v>
      </c>
      <c r="C84" s="390"/>
      <c r="D84" s="390"/>
      <c r="E84" s="390"/>
      <c r="F84" s="390"/>
      <c r="H84" s="8"/>
      <c r="J84" s="122" t="s">
        <v>241</v>
      </c>
      <c r="K84" s="112" t="s">
        <v>394</v>
      </c>
      <c r="L84" s="112" t="s">
        <v>393</v>
      </c>
      <c r="M84" s="112" t="s">
        <v>393</v>
      </c>
      <c r="N84" s="110" t="s">
        <v>393</v>
      </c>
      <c r="O84" s="110" t="s">
        <v>393</v>
      </c>
      <c r="P84" s="110" t="s">
        <v>393</v>
      </c>
      <c r="Q84" s="110" t="s">
        <v>393</v>
      </c>
      <c r="R84" s="110" t="s">
        <v>393</v>
      </c>
      <c r="S84" s="110" t="s">
        <v>393</v>
      </c>
      <c r="T84" s="110" t="s">
        <v>393</v>
      </c>
      <c r="U84" s="110" t="s">
        <v>393</v>
      </c>
      <c r="V84" s="110" t="s">
        <v>393</v>
      </c>
      <c r="W84" s="110" t="s">
        <v>393</v>
      </c>
      <c r="X84" s="110" t="s">
        <v>393</v>
      </c>
      <c r="Y84" s="110" t="s">
        <v>393</v>
      </c>
      <c r="Z84" s="110" t="s">
        <v>393</v>
      </c>
      <c r="AA84" s="110" t="s">
        <v>393</v>
      </c>
      <c r="AB84" s="110" t="s">
        <v>393</v>
      </c>
      <c r="AC84" s="112" t="s">
        <v>393</v>
      </c>
      <c r="AD84" s="112" t="s">
        <v>393</v>
      </c>
      <c r="AE84" s="112" t="s">
        <v>393</v>
      </c>
      <c r="AF84" s="112" t="s">
        <v>393</v>
      </c>
      <c r="AG84" s="112" t="s">
        <v>393</v>
      </c>
      <c r="AH84" s="112" t="s">
        <v>393</v>
      </c>
      <c r="AI84" s="112" t="s">
        <v>393</v>
      </c>
    </row>
    <row r="85" spans="2:35" x14ac:dyDescent="0.2">
      <c r="J85" s="122" t="s">
        <v>243</v>
      </c>
      <c r="K85" s="112" t="s">
        <v>394</v>
      </c>
      <c r="L85" s="112" t="s">
        <v>393</v>
      </c>
      <c r="M85" s="112" t="s">
        <v>394</v>
      </c>
      <c r="N85" s="112" t="s">
        <v>394</v>
      </c>
      <c r="O85" s="112" t="s">
        <v>394</v>
      </c>
      <c r="P85" s="112" t="s">
        <v>394</v>
      </c>
      <c r="Q85" s="112" t="s">
        <v>394</v>
      </c>
      <c r="R85" s="112" t="s">
        <v>394</v>
      </c>
      <c r="S85" s="112" t="s">
        <v>394</v>
      </c>
      <c r="T85" s="112" t="s">
        <v>394</v>
      </c>
      <c r="U85" s="112" t="s">
        <v>394</v>
      </c>
      <c r="V85" s="112" t="s">
        <v>394</v>
      </c>
      <c r="W85" s="112" t="s">
        <v>394</v>
      </c>
      <c r="X85" s="112" t="s">
        <v>394</v>
      </c>
      <c r="Y85" s="112" t="s">
        <v>394</v>
      </c>
      <c r="Z85" s="112" t="s">
        <v>394</v>
      </c>
      <c r="AA85" s="112" t="s">
        <v>394</v>
      </c>
      <c r="AB85" s="112" t="s">
        <v>394</v>
      </c>
      <c r="AC85" s="112" t="s">
        <v>393</v>
      </c>
      <c r="AD85" s="112" t="s">
        <v>393</v>
      </c>
      <c r="AE85" s="112" t="s">
        <v>393</v>
      </c>
      <c r="AF85" s="112" t="s">
        <v>393</v>
      </c>
      <c r="AG85" s="112" t="s">
        <v>393</v>
      </c>
      <c r="AH85" s="112" t="s">
        <v>393</v>
      </c>
      <c r="AI85" s="112" t="s">
        <v>393</v>
      </c>
    </row>
    <row r="86" spans="2:35" x14ac:dyDescent="0.2">
      <c r="B86" s="393" t="s">
        <v>302</v>
      </c>
      <c r="C86" s="381"/>
      <c r="D86" s="381"/>
      <c r="E86" s="381"/>
      <c r="F86" s="382"/>
      <c r="J86" s="122" t="s">
        <v>244</v>
      </c>
      <c r="K86" s="112" t="s">
        <v>394</v>
      </c>
      <c r="L86" s="112" t="s">
        <v>393</v>
      </c>
      <c r="M86" s="112" t="s">
        <v>394</v>
      </c>
      <c r="N86" s="112" t="s">
        <v>394</v>
      </c>
      <c r="O86" s="112" t="s">
        <v>394</v>
      </c>
      <c r="P86" s="112" t="s">
        <v>394</v>
      </c>
      <c r="Q86" s="112" t="s">
        <v>394</v>
      </c>
      <c r="R86" s="112" t="s">
        <v>394</v>
      </c>
      <c r="S86" s="112" t="s">
        <v>394</v>
      </c>
      <c r="T86" s="112" t="s">
        <v>394</v>
      </c>
      <c r="U86" s="112" t="s">
        <v>394</v>
      </c>
      <c r="V86" s="112" t="s">
        <v>394</v>
      </c>
      <c r="W86" s="112" t="s">
        <v>394</v>
      </c>
      <c r="X86" s="112" t="s">
        <v>394</v>
      </c>
      <c r="Y86" s="112" t="s">
        <v>394</v>
      </c>
      <c r="Z86" s="112" t="s">
        <v>394</v>
      </c>
      <c r="AA86" s="112" t="s">
        <v>394</v>
      </c>
      <c r="AB86" s="112" t="s">
        <v>394</v>
      </c>
      <c r="AC86" s="112" t="s">
        <v>393</v>
      </c>
      <c r="AD86" s="112" t="s">
        <v>393</v>
      </c>
      <c r="AE86" s="112" t="s">
        <v>393</v>
      </c>
      <c r="AF86" s="112" t="s">
        <v>393</v>
      </c>
      <c r="AG86" s="112" t="s">
        <v>393</v>
      </c>
      <c r="AH86" s="112" t="s">
        <v>393</v>
      </c>
      <c r="AI86" s="112" t="s">
        <v>393</v>
      </c>
    </row>
    <row r="87" spans="2:35" ht="26.1" customHeight="1" x14ac:dyDescent="0.2">
      <c r="B87" s="394" t="s">
        <v>214</v>
      </c>
      <c r="C87" s="378"/>
      <c r="D87" s="378" t="s">
        <v>257</v>
      </c>
      <c r="E87" s="378" t="s">
        <v>258</v>
      </c>
      <c r="F87" s="392"/>
      <c r="G87" s="2"/>
      <c r="H87" s="2"/>
      <c r="J87" s="122" t="s">
        <v>246</v>
      </c>
      <c r="K87" s="112" t="s">
        <v>393</v>
      </c>
      <c r="L87" s="112" t="s">
        <v>394</v>
      </c>
      <c r="M87" s="112" t="s">
        <v>394</v>
      </c>
      <c r="N87" s="112" t="s">
        <v>394</v>
      </c>
      <c r="O87" s="112" t="s">
        <v>394</v>
      </c>
      <c r="P87" s="112" t="s">
        <v>394</v>
      </c>
      <c r="Q87" s="112" t="s">
        <v>394</v>
      </c>
      <c r="R87" s="112" t="s">
        <v>394</v>
      </c>
      <c r="S87" s="112" t="s">
        <v>394</v>
      </c>
      <c r="T87" s="112" t="s">
        <v>394</v>
      </c>
      <c r="U87" s="112" t="s">
        <v>394</v>
      </c>
      <c r="V87" s="112" t="s">
        <v>394</v>
      </c>
      <c r="W87" s="112" t="s">
        <v>394</v>
      </c>
      <c r="X87" s="112" t="s">
        <v>394</v>
      </c>
      <c r="Y87" s="112" t="s">
        <v>394</v>
      </c>
      <c r="Z87" s="112" t="s">
        <v>394</v>
      </c>
      <c r="AA87" s="112" t="s">
        <v>394</v>
      </c>
      <c r="AB87" s="112" t="s">
        <v>394</v>
      </c>
      <c r="AC87" s="112" t="s">
        <v>393</v>
      </c>
      <c r="AD87" s="112" t="s">
        <v>393</v>
      </c>
      <c r="AE87" s="112" t="s">
        <v>394</v>
      </c>
      <c r="AF87" s="112" t="s">
        <v>394</v>
      </c>
      <c r="AG87" s="112" t="s">
        <v>394</v>
      </c>
      <c r="AH87" s="112" t="s">
        <v>394</v>
      </c>
      <c r="AI87" s="112" t="s">
        <v>394</v>
      </c>
    </row>
    <row r="88" spans="2:35" ht="18" customHeight="1" x14ac:dyDescent="0.2">
      <c r="B88" s="65"/>
      <c r="D88" s="378"/>
      <c r="E88" s="2" t="s">
        <v>259</v>
      </c>
      <c r="F88" s="51" t="s">
        <v>260</v>
      </c>
      <c r="G88" s="2"/>
      <c r="H88" s="2"/>
      <c r="J88" s="122" t="s">
        <v>247</v>
      </c>
      <c r="K88" s="112" t="s">
        <v>393</v>
      </c>
      <c r="L88" s="112" t="s">
        <v>394</v>
      </c>
      <c r="M88" s="112" t="s">
        <v>394</v>
      </c>
      <c r="N88" s="112" t="s">
        <v>394</v>
      </c>
      <c r="O88" s="112" t="s">
        <v>394</v>
      </c>
      <c r="P88" s="112" t="s">
        <v>394</v>
      </c>
      <c r="Q88" s="112" t="s">
        <v>394</v>
      </c>
      <c r="R88" s="112" t="s">
        <v>394</v>
      </c>
      <c r="S88" s="112" t="s">
        <v>394</v>
      </c>
      <c r="T88" s="112" t="s">
        <v>394</v>
      </c>
      <c r="U88" s="112" t="s">
        <v>394</v>
      </c>
      <c r="V88" s="112" t="s">
        <v>394</v>
      </c>
      <c r="W88" s="112" t="s">
        <v>394</v>
      </c>
      <c r="X88" s="112" t="s">
        <v>394</v>
      </c>
      <c r="Y88" s="112" t="s">
        <v>394</v>
      </c>
      <c r="Z88" s="112" t="s">
        <v>394</v>
      </c>
      <c r="AA88" s="112" t="s">
        <v>394</v>
      </c>
      <c r="AB88" s="112" t="s">
        <v>394</v>
      </c>
      <c r="AC88" s="112" t="s">
        <v>393</v>
      </c>
      <c r="AD88" s="112" t="s">
        <v>393</v>
      </c>
      <c r="AE88" s="112" t="s">
        <v>394</v>
      </c>
      <c r="AF88" s="112" t="s">
        <v>394</v>
      </c>
      <c r="AG88" s="112" t="s">
        <v>394</v>
      </c>
      <c r="AH88" s="112" t="s">
        <v>394</v>
      </c>
      <c r="AI88" s="112" t="s">
        <v>394</v>
      </c>
    </row>
    <row r="89" spans="2:35" ht="18" customHeight="1" x14ac:dyDescent="0.2">
      <c r="B89" s="50" t="s">
        <v>386</v>
      </c>
      <c r="C89" s="2"/>
      <c r="D89" s="2">
        <v>2</v>
      </c>
      <c r="F89" s="52">
        <v>-3.3399999999999999E-2</v>
      </c>
      <c r="G89" s="2"/>
      <c r="H89" s="2"/>
      <c r="J89" s="122" t="s">
        <v>249</v>
      </c>
      <c r="K89" s="112" t="s">
        <v>393</v>
      </c>
      <c r="L89" s="112" t="s">
        <v>394</v>
      </c>
      <c r="M89" s="112" t="s">
        <v>394</v>
      </c>
      <c r="N89" s="112" t="s">
        <v>394</v>
      </c>
      <c r="O89" s="112" t="s">
        <v>394</v>
      </c>
      <c r="P89" s="112" t="s">
        <v>394</v>
      </c>
      <c r="Q89" s="112" t="s">
        <v>394</v>
      </c>
      <c r="R89" s="112" t="s">
        <v>394</v>
      </c>
      <c r="S89" s="112" t="s">
        <v>394</v>
      </c>
      <c r="T89" s="112" t="s">
        <v>394</v>
      </c>
      <c r="U89" s="112" t="s">
        <v>394</v>
      </c>
      <c r="V89" s="112" t="s">
        <v>394</v>
      </c>
      <c r="W89" s="112" t="s">
        <v>394</v>
      </c>
      <c r="X89" s="112" t="s">
        <v>394</v>
      </c>
      <c r="Y89" s="112" t="s">
        <v>394</v>
      </c>
      <c r="Z89" s="112" t="s">
        <v>394</v>
      </c>
      <c r="AA89" s="112" t="s">
        <v>394</v>
      </c>
      <c r="AB89" s="112" t="s">
        <v>394</v>
      </c>
      <c r="AC89" s="112" t="s">
        <v>393</v>
      </c>
      <c r="AD89" s="112" t="s">
        <v>393</v>
      </c>
      <c r="AE89" s="112" t="s">
        <v>394</v>
      </c>
      <c r="AF89" s="112" t="s">
        <v>394</v>
      </c>
      <c r="AG89" s="112" t="s">
        <v>394</v>
      </c>
      <c r="AH89" s="112" t="s">
        <v>394</v>
      </c>
      <c r="AI89" s="112" t="s">
        <v>394</v>
      </c>
    </row>
    <row r="90" spans="2:35" ht="14.1" customHeight="1" x14ac:dyDescent="0.2">
      <c r="B90" s="50" t="s">
        <v>278</v>
      </c>
      <c r="C90" s="2"/>
      <c r="D90" s="2">
        <v>3</v>
      </c>
      <c r="F90" s="52">
        <v>-5.0099999999999999E-2</v>
      </c>
      <c r="J90" s="122" t="s">
        <v>250</v>
      </c>
      <c r="K90" s="112" t="s">
        <v>393</v>
      </c>
      <c r="L90" s="112" t="s">
        <v>394</v>
      </c>
      <c r="M90" s="112" t="s">
        <v>394</v>
      </c>
      <c r="N90" s="112" t="s">
        <v>394</v>
      </c>
      <c r="O90" s="112" t="s">
        <v>394</v>
      </c>
      <c r="P90" s="112" t="s">
        <v>394</v>
      </c>
      <c r="Q90" s="112" t="s">
        <v>394</v>
      </c>
      <c r="R90" s="112" t="s">
        <v>394</v>
      </c>
      <c r="S90" s="112" t="s">
        <v>394</v>
      </c>
      <c r="T90" s="112" t="s">
        <v>394</v>
      </c>
      <c r="U90" s="112" t="s">
        <v>394</v>
      </c>
      <c r="V90" s="112" t="s">
        <v>394</v>
      </c>
      <c r="W90" s="112" t="s">
        <v>394</v>
      </c>
      <c r="X90" s="112" t="s">
        <v>394</v>
      </c>
      <c r="Y90" s="112" t="s">
        <v>394</v>
      </c>
      <c r="Z90" s="112" t="s">
        <v>394</v>
      </c>
      <c r="AA90" s="112" t="s">
        <v>394</v>
      </c>
      <c r="AB90" s="112" t="s">
        <v>394</v>
      </c>
      <c r="AC90" s="112" t="s">
        <v>393</v>
      </c>
      <c r="AD90" s="112" t="s">
        <v>393</v>
      </c>
      <c r="AE90" s="112" t="s">
        <v>394</v>
      </c>
      <c r="AF90" s="112" t="s">
        <v>394</v>
      </c>
      <c r="AG90" s="112" t="s">
        <v>394</v>
      </c>
      <c r="AH90" s="112" t="s">
        <v>394</v>
      </c>
      <c r="AI90" s="112" t="s">
        <v>394</v>
      </c>
    </row>
    <row r="91" spans="2:35" ht="14.1" customHeight="1" x14ac:dyDescent="0.2">
      <c r="B91" s="50" t="s">
        <v>279</v>
      </c>
      <c r="C91" s="2"/>
      <c r="D91" s="2">
        <v>5</v>
      </c>
      <c r="F91" s="52">
        <v>-8.3400000000000002E-2</v>
      </c>
      <c r="J91" s="122" t="s">
        <v>252</v>
      </c>
      <c r="K91" s="112" t="s">
        <v>393</v>
      </c>
      <c r="L91" s="112" t="s">
        <v>394</v>
      </c>
      <c r="M91" s="112" t="s">
        <v>394</v>
      </c>
      <c r="N91" s="112" t="s">
        <v>394</v>
      </c>
      <c r="O91" s="112" t="s">
        <v>394</v>
      </c>
      <c r="P91" s="112" t="s">
        <v>394</v>
      </c>
      <c r="Q91" s="112" t="s">
        <v>394</v>
      </c>
      <c r="R91" s="112" t="s">
        <v>394</v>
      </c>
      <c r="S91" s="112" t="s">
        <v>394</v>
      </c>
      <c r="T91" s="112" t="s">
        <v>394</v>
      </c>
      <c r="U91" s="112" t="s">
        <v>394</v>
      </c>
      <c r="V91" s="112" t="s">
        <v>394</v>
      </c>
      <c r="W91" s="112" t="s">
        <v>394</v>
      </c>
      <c r="X91" s="112" t="s">
        <v>394</v>
      </c>
      <c r="Y91" s="112" t="s">
        <v>394</v>
      </c>
      <c r="Z91" s="112" t="s">
        <v>394</v>
      </c>
      <c r="AA91" s="112" t="s">
        <v>394</v>
      </c>
      <c r="AB91" s="112" t="s">
        <v>394</v>
      </c>
      <c r="AC91" s="112" t="s">
        <v>393</v>
      </c>
      <c r="AD91" s="112" t="s">
        <v>393</v>
      </c>
      <c r="AE91" s="112" t="s">
        <v>394</v>
      </c>
      <c r="AF91" s="112" t="s">
        <v>394</v>
      </c>
      <c r="AG91" s="112" t="s">
        <v>394</v>
      </c>
      <c r="AH91" s="112" t="s">
        <v>394</v>
      </c>
      <c r="AI91" s="112" t="s">
        <v>394</v>
      </c>
    </row>
    <row r="92" spans="2:35" ht="14.1" customHeight="1" x14ac:dyDescent="0.2">
      <c r="B92" s="50" t="s">
        <v>289</v>
      </c>
      <c r="C92" s="2"/>
      <c r="D92" s="2">
        <v>7</v>
      </c>
      <c r="F92" s="52">
        <v>-0.1168</v>
      </c>
      <c r="J92" s="122" t="s">
        <v>461</v>
      </c>
      <c r="K92" s="112" t="s">
        <v>394</v>
      </c>
      <c r="L92" s="112" t="s">
        <v>393</v>
      </c>
      <c r="M92" s="112" t="s">
        <v>394</v>
      </c>
      <c r="N92" s="112" t="s">
        <v>394</v>
      </c>
      <c r="O92" s="112" t="s">
        <v>394</v>
      </c>
      <c r="P92" s="112" t="s">
        <v>394</v>
      </c>
      <c r="Q92" s="112" t="s">
        <v>394</v>
      </c>
      <c r="R92" s="112" t="s">
        <v>394</v>
      </c>
      <c r="S92" s="112" t="s">
        <v>394</v>
      </c>
      <c r="T92" s="112" t="s">
        <v>394</v>
      </c>
      <c r="U92" s="112" t="s">
        <v>394</v>
      </c>
      <c r="V92" s="112" t="s">
        <v>394</v>
      </c>
      <c r="W92" s="112" t="s">
        <v>394</v>
      </c>
      <c r="X92" s="112" t="s">
        <v>394</v>
      </c>
      <c r="Y92" s="112" t="s">
        <v>394</v>
      </c>
      <c r="Z92" s="112" t="s">
        <v>394</v>
      </c>
      <c r="AA92" s="112" t="s">
        <v>394</v>
      </c>
      <c r="AB92" s="112" t="s">
        <v>394</v>
      </c>
      <c r="AC92" s="112" t="s">
        <v>393</v>
      </c>
      <c r="AD92" s="112" t="s">
        <v>393</v>
      </c>
      <c r="AE92" s="112" t="s">
        <v>393</v>
      </c>
      <c r="AF92" s="112" t="s">
        <v>393</v>
      </c>
      <c r="AG92" s="112" t="s">
        <v>393</v>
      </c>
      <c r="AH92" s="112" t="s">
        <v>393</v>
      </c>
      <c r="AI92" s="112" t="s">
        <v>393</v>
      </c>
    </row>
    <row r="93" spans="2:35" ht="14.1" customHeight="1" x14ac:dyDescent="0.2">
      <c r="B93" s="50" t="s">
        <v>280</v>
      </c>
      <c r="C93" s="2"/>
      <c r="D93" s="2">
        <v>9</v>
      </c>
      <c r="F93" s="52">
        <v>-0.1502</v>
      </c>
      <c r="J93" s="122" t="s">
        <v>323</v>
      </c>
      <c r="K93" s="112" t="s">
        <v>394</v>
      </c>
      <c r="L93" s="112" t="s">
        <v>394</v>
      </c>
      <c r="M93" s="112" t="s">
        <v>393</v>
      </c>
      <c r="N93" s="112" t="s">
        <v>393</v>
      </c>
      <c r="O93" s="112" t="s">
        <v>394</v>
      </c>
      <c r="P93" s="112" t="s">
        <v>393</v>
      </c>
      <c r="Q93" s="112" t="s">
        <v>394</v>
      </c>
      <c r="R93" s="112" t="s">
        <v>394</v>
      </c>
      <c r="S93" s="112" t="s">
        <v>394</v>
      </c>
      <c r="T93" s="112" t="s">
        <v>394</v>
      </c>
      <c r="U93" s="112" t="s">
        <v>394</v>
      </c>
      <c r="V93" s="112" t="s">
        <v>394</v>
      </c>
      <c r="W93" s="112" t="s">
        <v>394</v>
      </c>
      <c r="X93" s="112" t="s">
        <v>394</v>
      </c>
      <c r="Y93" s="112" t="s">
        <v>394</v>
      </c>
      <c r="Z93" s="112" t="s">
        <v>394</v>
      </c>
      <c r="AA93" s="112" t="s">
        <v>394</v>
      </c>
      <c r="AB93" s="112" t="s">
        <v>394</v>
      </c>
      <c r="AC93" s="112" t="s">
        <v>393</v>
      </c>
      <c r="AD93" s="112" t="s">
        <v>393</v>
      </c>
      <c r="AE93" s="112" t="s">
        <v>393</v>
      </c>
      <c r="AF93" s="112" t="s">
        <v>393</v>
      </c>
      <c r="AG93" s="112" t="s">
        <v>393</v>
      </c>
      <c r="AH93" s="112" t="s">
        <v>393</v>
      </c>
      <c r="AI93" s="112" t="s">
        <v>393</v>
      </c>
    </row>
    <row r="94" spans="2:35" ht="14.1" customHeight="1" x14ac:dyDescent="0.2">
      <c r="B94" s="50" t="s">
        <v>303</v>
      </c>
      <c r="C94" s="2"/>
      <c r="D94" s="2">
        <v>11</v>
      </c>
      <c r="F94" s="52">
        <v>-0.1835</v>
      </c>
      <c r="J94" s="271" t="s">
        <v>495</v>
      </c>
      <c r="K94" s="112" t="s">
        <v>393</v>
      </c>
      <c r="L94" s="112" t="s">
        <v>394</v>
      </c>
      <c r="M94" s="112" t="s">
        <v>394</v>
      </c>
      <c r="N94" s="112" t="s">
        <v>394</v>
      </c>
      <c r="O94" s="112" t="s">
        <v>394</v>
      </c>
      <c r="P94" s="112" t="s">
        <v>394</v>
      </c>
      <c r="Q94" s="112" t="s">
        <v>394</v>
      </c>
      <c r="R94" s="112" t="s">
        <v>394</v>
      </c>
      <c r="S94" s="112" t="s">
        <v>394</v>
      </c>
      <c r="T94" s="112" t="s">
        <v>394</v>
      </c>
      <c r="U94" s="112" t="s">
        <v>394</v>
      </c>
      <c r="V94" s="112" t="s">
        <v>394</v>
      </c>
      <c r="W94" s="112" t="s">
        <v>394</v>
      </c>
      <c r="X94" s="112" t="s">
        <v>394</v>
      </c>
      <c r="Y94" s="112" t="s">
        <v>394</v>
      </c>
      <c r="Z94" s="112" t="s">
        <v>394</v>
      </c>
      <c r="AA94" s="112" t="s">
        <v>394</v>
      </c>
      <c r="AB94" s="112" t="s">
        <v>394</v>
      </c>
      <c r="AC94" s="112" t="s">
        <v>393</v>
      </c>
      <c r="AD94" s="112" t="s">
        <v>393</v>
      </c>
      <c r="AE94" s="112" t="s">
        <v>393</v>
      </c>
      <c r="AF94" s="112" t="s">
        <v>393</v>
      </c>
      <c r="AG94" s="112" t="s">
        <v>394</v>
      </c>
      <c r="AH94" s="112" t="s">
        <v>393</v>
      </c>
      <c r="AI94" s="112" t="s">
        <v>393</v>
      </c>
    </row>
    <row r="95" spans="2:35" ht="14.1" customHeight="1" x14ac:dyDescent="0.2">
      <c r="B95" s="50" t="s">
        <v>290</v>
      </c>
      <c r="C95" s="2"/>
      <c r="D95" s="2">
        <v>13</v>
      </c>
      <c r="F95" s="52">
        <v>-0.21690000000000001</v>
      </c>
      <c r="J95" s="126" t="s">
        <v>577</v>
      </c>
      <c r="K95" s="112" t="s">
        <v>393</v>
      </c>
      <c r="L95" s="112" t="s">
        <v>394</v>
      </c>
      <c r="M95" s="112" t="s">
        <v>394</v>
      </c>
      <c r="N95" s="112" t="s">
        <v>394</v>
      </c>
      <c r="O95" s="112" t="s">
        <v>394</v>
      </c>
      <c r="P95" s="112" t="s">
        <v>394</v>
      </c>
      <c r="Q95" s="112" t="s">
        <v>394</v>
      </c>
      <c r="R95" s="112" t="s">
        <v>394</v>
      </c>
      <c r="S95" s="112" t="s">
        <v>394</v>
      </c>
      <c r="T95" s="112" t="s">
        <v>394</v>
      </c>
      <c r="U95" s="112" t="s">
        <v>394</v>
      </c>
      <c r="V95" s="112" t="s">
        <v>394</v>
      </c>
      <c r="W95" s="112" t="s">
        <v>394</v>
      </c>
      <c r="X95" s="112" t="s">
        <v>394</v>
      </c>
      <c r="Y95" s="112" t="s">
        <v>394</v>
      </c>
      <c r="Z95" s="112" t="s">
        <v>394</v>
      </c>
      <c r="AA95" s="112" t="s">
        <v>394</v>
      </c>
      <c r="AB95" s="112" t="s">
        <v>394</v>
      </c>
      <c r="AC95" s="112" t="s">
        <v>393</v>
      </c>
      <c r="AD95" s="112" t="s">
        <v>393</v>
      </c>
      <c r="AE95" s="112" t="s">
        <v>393</v>
      </c>
      <c r="AF95" s="112" t="s">
        <v>393</v>
      </c>
      <c r="AG95" s="112" t="s">
        <v>394</v>
      </c>
      <c r="AH95" s="112" t="s">
        <v>393</v>
      </c>
      <c r="AI95" s="112" t="s">
        <v>393</v>
      </c>
    </row>
    <row r="96" spans="2:35" ht="14.1" customHeight="1" x14ac:dyDescent="0.2">
      <c r="B96" s="50" t="s">
        <v>304</v>
      </c>
      <c r="C96" s="2"/>
      <c r="D96" s="2">
        <v>15</v>
      </c>
      <c r="F96" s="52">
        <v>-0.25030000000000002</v>
      </c>
      <c r="J96" s="126" t="s">
        <v>310</v>
      </c>
      <c r="K96" s="112" t="s">
        <v>393</v>
      </c>
      <c r="L96" s="112" t="s">
        <v>394</v>
      </c>
      <c r="M96" s="112" t="s">
        <v>394</v>
      </c>
      <c r="N96" s="112" t="s">
        <v>394</v>
      </c>
      <c r="O96" s="112" t="s">
        <v>394</v>
      </c>
      <c r="P96" s="112" t="s">
        <v>394</v>
      </c>
      <c r="Q96" s="112" t="s">
        <v>394</v>
      </c>
      <c r="R96" s="112" t="s">
        <v>394</v>
      </c>
      <c r="S96" s="112" t="s">
        <v>394</v>
      </c>
      <c r="T96" s="112" t="s">
        <v>394</v>
      </c>
      <c r="U96" s="112" t="s">
        <v>394</v>
      </c>
      <c r="V96" s="112" t="s">
        <v>394</v>
      </c>
      <c r="W96" s="112" t="s">
        <v>394</v>
      </c>
      <c r="X96" s="112" t="s">
        <v>394</v>
      </c>
      <c r="Y96" s="112" t="s">
        <v>394</v>
      </c>
      <c r="Z96" s="112" t="s">
        <v>394</v>
      </c>
      <c r="AA96" s="112" t="s">
        <v>394</v>
      </c>
      <c r="AB96" s="112" t="s">
        <v>394</v>
      </c>
      <c r="AC96" s="112" t="s">
        <v>393</v>
      </c>
      <c r="AD96" s="112" t="s">
        <v>393</v>
      </c>
      <c r="AE96" s="112" t="s">
        <v>394</v>
      </c>
      <c r="AF96" s="112" t="s">
        <v>394</v>
      </c>
      <c r="AG96" s="112" t="s">
        <v>393</v>
      </c>
      <c r="AH96" s="112" t="s">
        <v>394</v>
      </c>
      <c r="AI96" s="112" t="s">
        <v>394</v>
      </c>
    </row>
    <row r="97" spans="2:6" ht="14.1" customHeight="1" x14ac:dyDescent="0.2">
      <c r="B97" s="50" t="s">
        <v>281</v>
      </c>
      <c r="C97" s="2"/>
      <c r="D97" s="2">
        <v>17</v>
      </c>
      <c r="F97" s="52">
        <v>-0.28360000000000002</v>
      </c>
    </row>
    <row r="98" spans="2:6" ht="14.1" customHeight="1" x14ac:dyDescent="0.2">
      <c r="B98" s="50" t="s">
        <v>291</v>
      </c>
      <c r="C98" s="2"/>
      <c r="D98" s="2">
        <v>25</v>
      </c>
      <c r="F98" s="52">
        <v>-0.41710000000000003</v>
      </c>
    </row>
    <row r="99" spans="2:6" ht="14.1" customHeight="1" x14ac:dyDescent="0.2">
      <c r="B99" s="50" t="s">
        <v>282</v>
      </c>
      <c r="C99" s="2"/>
      <c r="D99" s="2">
        <v>33</v>
      </c>
      <c r="F99" s="52">
        <v>-0.55059999999999998</v>
      </c>
    </row>
    <row r="100" spans="2:6" ht="14.1" customHeight="1" x14ac:dyDescent="0.2">
      <c r="B100" s="50" t="s">
        <v>283</v>
      </c>
      <c r="C100" s="2"/>
      <c r="D100" s="2">
        <v>65</v>
      </c>
      <c r="F100" s="52">
        <v>-1.0844</v>
      </c>
    </row>
    <row r="101" spans="2:6" ht="14.1" customHeight="1" x14ac:dyDescent="0.2">
      <c r="B101" s="50" t="s">
        <v>284</v>
      </c>
      <c r="C101" s="2"/>
      <c r="D101" s="2">
        <v>129</v>
      </c>
      <c r="F101" s="52">
        <v>-2.1522000000000001</v>
      </c>
    </row>
    <row r="102" spans="2:6" ht="14.1" customHeight="1" x14ac:dyDescent="0.2">
      <c r="B102" s="50" t="s">
        <v>285</v>
      </c>
      <c r="C102" s="2"/>
      <c r="D102" s="2">
        <v>257</v>
      </c>
      <c r="F102" s="52">
        <v>-4.2876000000000003</v>
      </c>
    </row>
    <row r="103" spans="2:6" ht="14.1" customHeight="1" x14ac:dyDescent="0.2">
      <c r="B103" s="53" t="s">
        <v>305</v>
      </c>
      <c r="C103" s="54"/>
      <c r="D103" s="54">
        <v>513</v>
      </c>
      <c r="E103" s="62"/>
      <c r="F103" s="56">
        <v>-8.5586000000000002</v>
      </c>
    </row>
    <row r="104" spans="2:6" ht="14.1" customHeight="1" x14ac:dyDescent="0.2"/>
    <row r="105" spans="2:6" ht="14.1" customHeight="1" x14ac:dyDescent="0.2">
      <c r="B105" s="380" t="s">
        <v>473</v>
      </c>
      <c r="C105" s="381"/>
      <c r="D105" s="381"/>
      <c r="E105" s="381"/>
      <c r="F105" s="382"/>
    </row>
    <row r="106" spans="2:6" ht="14.1" customHeight="1" x14ac:dyDescent="0.2">
      <c r="B106" s="111" t="s">
        <v>386</v>
      </c>
      <c r="C106" s="91"/>
      <c r="D106" s="91"/>
      <c r="E106" s="120">
        <v>-0.02</v>
      </c>
      <c r="F106" s="120">
        <v>-1.67E-2</v>
      </c>
    </row>
    <row r="107" spans="2:6" x14ac:dyDescent="0.2">
      <c r="B107" s="380" t="s">
        <v>389</v>
      </c>
      <c r="C107" s="381"/>
      <c r="D107" s="381"/>
      <c r="E107" s="381"/>
      <c r="F107" s="382"/>
    </row>
    <row r="108" spans="2:6" x14ac:dyDescent="0.2">
      <c r="B108" s="111" t="s">
        <v>386</v>
      </c>
      <c r="C108" s="91"/>
      <c r="D108" s="91"/>
      <c r="E108" s="120">
        <v>0</v>
      </c>
      <c r="F108" s="120">
        <v>0</v>
      </c>
    </row>
  </sheetData>
  <sheetProtection sheet="1" selectLockedCells="1" selectUnlockedCells="1"/>
  <mergeCells count="77">
    <mergeCell ref="A2:G2"/>
    <mergeCell ref="AC69:AI69"/>
    <mergeCell ref="K55:L55"/>
    <mergeCell ref="B49:C49"/>
    <mergeCell ref="B21:C21"/>
    <mergeCell ref="D21:D22"/>
    <mergeCell ref="J47:Q47"/>
    <mergeCell ref="J54:K54"/>
    <mergeCell ref="J53:M53"/>
    <mergeCell ref="J5:T5"/>
    <mergeCell ref="G22:H22"/>
    <mergeCell ref="K27:L27"/>
    <mergeCell ref="B6:C6"/>
    <mergeCell ref="J23:L23"/>
    <mergeCell ref="J10:L10"/>
    <mergeCell ref="J11:L11"/>
    <mergeCell ref="J13:L13"/>
    <mergeCell ref="J22:Q22"/>
    <mergeCell ref="J12:L12"/>
    <mergeCell ref="O7:T7"/>
    <mergeCell ref="B84:F84"/>
    <mergeCell ref="B68:C68"/>
    <mergeCell ref="D68:D69"/>
    <mergeCell ref="G36:H36"/>
    <mergeCell ref="J39:M39"/>
    <mergeCell ref="J7:L7"/>
    <mergeCell ref="J35:Q35"/>
    <mergeCell ref="J26:L26"/>
    <mergeCell ref="N24:Q24"/>
    <mergeCell ref="N26:Q26"/>
    <mergeCell ref="J8:L8"/>
    <mergeCell ref="J9:L9"/>
    <mergeCell ref="B5:F5"/>
    <mergeCell ref="B35:C35"/>
    <mergeCell ref="D35:D36"/>
    <mergeCell ref="E21:F21"/>
    <mergeCell ref="D6:D7"/>
    <mergeCell ref="B20:F20"/>
    <mergeCell ref="E6:F6"/>
    <mergeCell ref="E35:F35"/>
    <mergeCell ref="J25:L25"/>
    <mergeCell ref="J37:K37"/>
    <mergeCell ref="J24:L24"/>
    <mergeCell ref="N23:Q23"/>
    <mergeCell ref="N25:Q25"/>
    <mergeCell ref="B48:F48"/>
    <mergeCell ref="J61:Q61"/>
    <mergeCell ref="J40:K40"/>
    <mergeCell ref="N27:O27"/>
    <mergeCell ref="K41:L41"/>
    <mergeCell ref="J58:K58"/>
    <mergeCell ref="G50:H50"/>
    <mergeCell ref="B34:F34"/>
    <mergeCell ref="K59:L59"/>
    <mergeCell ref="M52:Q52"/>
    <mergeCell ref="L36:N36"/>
    <mergeCell ref="M38:Q38"/>
    <mergeCell ref="K45:L45"/>
    <mergeCell ref="J49:Q49"/>
    <mergeCell ref="J44:K44"/>
    <mergeCell ref="J38:K38"/>
    <mergeCell ref="B107:F107"/>
    <mergeCell ref="L50:N50"/>
    <mergeCell ref="J51:K51"/>
    <mergeCell ref="J52:K52"/>
    <mergeCell ref="K63:O63"/>
    <mergeCell ref="B67:F67"/>
    <mergeCell ref="B65:F65"/>
    <mergeCell ref="K65:Q65"/>
    <mergeCell ref="D49:D50"/>
    <mergeCell ref="E49:F49"/>
    <mergeCell ref="B105:F105"/>
    <mergeCell ref="B86:F86"/>
    <mergeCell ref="B87:C87"/>
    <mergeCell ref="D87:D88"/>
    <mergeCell ref="E87:F87"/>
    <mergeCell ref="E68:F68"/>
  </mergeCells>
  <phoneticPr fontId="25" type="noConversion"/>
  <dataValidations disablePrompts="1" count="1">
    <dataValidation type="list" allowBlank="1" showInputMessage="1" showErrorMessage="1" sqref="L38 L52" xr:uid="{00000000-0002-0000-0500-000000000000}">
      <formula1>RunCamInt</formula1>
    </dataValidation>
  </dataValidations>
  <pageMargins left="0.75" right="0.75" top="1" bottom="1" header="0.5" footer="0.5"/>
  <pageSetup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5:AH76"/>
  <sheetViews>
    <sheetView topLeftCell="A15" workbookViewId="0">
      <selection activeCell="N27" sqref="N27"/>
    </sheetView>
  </sheetViews>
  <sheetFormatPr defaultRowHeight="12.75" x14ac:dyDescent="0.2"/>
  <cols>
    <col min="1" max="1" width="10" customWidth="1"/>
    <col min="2" max="2" width="23.7109375" bestFit="1" customWidth="1"/>
    <col min="3" max="4" width="9.42578125" bestFit="1" customWidth="1"/>
    <col min="5" max="6" width="9.42578125" customWidth="1"/>
    <col min="10" max="10" width="10.28515625" customWidth="1"/>
    <col min="11" max="11" width="17.85546875" bestFit="1" customWidth="1"/>
    <col min="12" max="12" width="9.5703125" bestFit="1" customWidth="1"/>
    <col min="13" max="13" width="11.28515625" bestFit="1" customWidth="1"/>
    <col min="14" max="24" width="10.7109375" customWidth="1"/>
  </cols>
  <sheetData>
    <row r="5" spans="1:19" x14ac:dyDescent="0.2">
      <c r="A5" s="119" t="s">
        <v>404</v>
      </c>
    </row>
    <row r="6" spans="1:19" x14ac:dyDescent="0.2">
      <c r="A6" t="s">
        <v>405</v>
      </c>
    </row>
    <row r="7" spans="1:19" x14ac:dyDescent="0.2">
      <c r="C7" s="414" t="s">
        <v>471</v>
      </c>
      <c r="D7" s="414"/>
      <c r="E7" s="414" t="s">
        <v>472</v>
      </c>
      <c r="F7" s="414"/>
      <c r="I7" s="119" t="s">
        <v>479</v>
      </c>
    </row>
    <row r="8" spans="1:19" ht="25.5" x14ac:dyDescent="0.2">
      <c r="A8" s="141" t="s">
        <v>363</v>
      </c>
      <c r="B8" s="142" t="str">
        <f>_CamType</f>
        <v>ASTRID</v>
      </c>
      <c r="C8" s="143" t="str">
        <f>IF(_CamFormat="PAL/CCIR","PAL/CCIR"," ")</f>
        <v xml:space="preserve"> </v>
      </c>
      <c r="D8" s="143" t="str">
        <f>IF(_CamFormat="NTSC/EIA","NTSC/EIA"," ")</f>
        <v>NTSC/EIA</v>
      </c>
      <c r="E8" s="143" t="str">
        <f>IF(_CamFormat="PAL/CCIR","PAL/CCIR"," ")</f>
        <v xml:space="preserve"> </v>
      </c>
      <c r="F8" s="143" t="str">
        <f>IF(_CamFormat="NTSC/EIA","NTSC/EIA"," ")</f>
        <v>NTSC/EIA</v>
      </c>
      <c r="I8" s="144" t="str">
        <f>_VTI_Type</f>
        <v>IOTA-VTI</v>
      </c>
      <c r="J8" s="144" t="str">
        <f>_OTA_Used</f>
        <v>PYOTE</v>
      </c>
      <c r="K8" s="144"/>
      <c r="S8" s="1"/>
    </row>
    <row r="10" spans="1:19" x14ac:dyDescent="0.2">
      <c r="B10" s="1" t="s">
        <v>228</v>
      </c>
      <c r="C10" s="146">
        <f>INDEX('Corrections Tables'!E8:E17,MATCH(_Exposure,'Corrections Tables'!A8:A17,0),0)</f>
        <v>-0.04</v>
      </c>
      <c r="D10" s="146">
        <f>INDEX('Corrections Tables'!F8:F17,MATCH(_Exposure,'Corrections Tables'!A8:A17,0),0)</f>
        <v>-3.3399999999999999E-2</v>
      </c>
      <c r="E10" s="146">
        <f t="shared" ref="E10:E21" si="0">C10</f>
        <v>-0.04</v>
      </c>
      <c r="F10" s="146">
        <f t="shared" ref="F10:F21" si="1">D10</f>
        <v>-3.3399999999999999E-2</v>
      </c>
      <c r="I10" s="146"/>
    </row>
    <row r="11" spans="1:19" x14ac:dyDescent="0.2">
      <c r="B11" s="29" t="s">
        <v>230</v>
      </c>
      <c r="C11" s="146">
        <f>INDEX('Corrections Tables'!E8:E17,MATCH(_Exposure,'Corrections Tables'!A8:A17,0),0)</f>
        <v>-0.04</v>
      </c>
      <c r="D11" s="146">
        <f>INDEX('Corrections Tables'!F8:F17,MATCH(_Exposure,'Corrections Tables'!A8:A17,0),0)</f>
        <v>-3.3399999999999999E-2</v>
      </c>
      <c r="E11" s="146">
        <f t="shared" si="0"/>
        <v>-0.04</v>
      </c>
      <c r="F11" s="146">
        <f t="shared" si="1"/>
        <v>-3.3399999999999999E-2</v>
      </c>
      <c r="I11" s="146"/>
    </row>
    <row r="12" spans="1:19" x14ac:dyDescent="0.2">
      <c r="B12" s="29" t="s">
        <v>231</v>
      </c>
      <c r="C12" s="146">
        <f>INDEX('Corrections Tables'!E23:E31,MATCH(_Exposure,'Corrections Tables'!B23:B31,0),0)</f>
        <v>-0.02</v>
      </c>
      <c r="D12" s="146">
        <f>INDEX('Corrections Tables'!F23:F31,MATCH(_Exposure,'Corrections Tables'!B23:B31,0),0)</f>
        <v>-1.67E-2</v>
      </c>
      <c r="E12" s="146">
        <f t="shared" si="0"/>
        <v>-0.02</v>
      </c>
      <c r="F12" s="146">
        <f t="shared" si="1"/>
        <v>-1.67E-2</v>
      </c>
      <c r="I12" s="146"/>
    </row>
    <row r="13" spans="1:19" x14ac:dyDescent="0.2">
      <c r="B13" s="29" t="s">
        <v>233</v>
      </c>
      <c r="C13" s="146">
        <f>INDEX('Corrections Tables'!E23:E31,MATCH(_Exposure,'Corrections Tables'!B23:B31,0),0)</f>
        <v>-0.02</v>
      </c>
      <c r="D13" s="146">
        <f>INDEX('Corrections Tables'!F23:F31,MATCH(_Exposure,'Corrections Tables'!B23:B31,0),0)</f>
        <v>-1.67E-2</v>
      </c>
      <c r="E13" s="146">
        <f t="shared" si="0"/>
        <v>-0.02</v>
      </c>
      <c r="F13" s="146">
        <f>D13</f>
        <v>-1.67E-2</v>
      </c>
      <c r="I13" s="146"/>
    </row>
    <row r="14" spans="1:19" x14ac:dyDescent="0.2">
      <c r="B14" s="29" t="s">
        <v>221</v>
      </c>
      <c r="C14" s="146">
        <f>INDEX('Corrections Tables'!E37:E45,MATCH(_Exposure,'Corrections Tables'!B37:B45,0),0)</f>
        <v>0</v>
      </c>
      <c r="D14" s="146">
        <f>INDEX('Corrections Tables'!F37:F45,MATCH(_Exposure,'Corrections Tables'!B37:B45,0),0)</f>
        <v>-1.67E-2</v>
      </c>
      <c r="E14" s="146">
        <f t="shared" si="0"/>
        <v>0</v>
      </c>
      <c r="F14" s="146">
        <f t="shared" si="1"/>
        <v>-1.67E-2</v>
      </c>
      <c r="I14" s="146"/>
    </row>
    <row r="15" spans="1:19" x14ac:dyDescent="0.2">
      <c r="B15" s="30" t="s">
        <v>236</v>
      </c>
      <c r="C15" s="146">
        <f>INDEX('Corrections Tables'!E51:E63,MATCH(_Exposure,'Corrections Tables'!B51:B63,0),0)</f>
        <v>0</v>
      </c>
      <c r="D15" s="146">
        <f>INDEX('Corrections Tables'!F51:F63,MATCH(_Exposure,'Corrections Tables'!B51:B63,0),0)</f>
        <v>0</v>
      </c>
      <c r="E15" s="146">
        <f t="shared" si="0"/>
        <v>0</v>
      </c>
      <c r="F15" s="146">
        <f t="shared" si="1"/>
        <v>0</v>
      </c>
      <c r="I15" s="146"/>
    </row>
    <row r="16" spans="1:19" x14ac:dyDescent="0.2">
      <c r="B16" s="1" t="s">
        <v>238</v>
      </c>
      <c r="C16" s="146">
        <f>INDEX('Corrections Tables'!E70:E82,MATCH(_Exposure,'Corrections Tables'!B70:B82,0),0)</f>
        <v>-0.02</v>
      </c>
      <c r="D16" s="146">
        <f>INDEX('Corrections Tables'!F70:F82,MATCH(_Exposure,'Corrections Tables'!B70:B82,0),0)</f>
        <v>-1.67E-2</v>
      </c>
      <c r="E16" s="146">
        <f t="shared" si="0"/>
        <v>-0.02</v>
      </c>
      <c r="F16" s="146">
        <f t="shared" si="1"/>
        <v>-1.67E-2</v>
      </c>
      <c r="I16" s="146"/>
    </row>
    <row r="17" spans="2:19" x14ac:dyDescent="0.2">
      <c r="B17" s="119" t="s">
        <v>241</v>
      </c>
      <c r="C17" s="146"/>
      <c r="D17" s="146">
        <f>INDEX('Corrections Tables'!F89:F103,MATCH(_Exposure,'Corrections Tables'!B89:B103,0),0)</f>
        <v>-3.3399999999999999E-2</v>
      </c>
      <c r="E17" s="146"/>
      <c r="F17" s="146">
        <f t="shared" si="1"/>
        <v>-3.3399999999999999E-2</v>
      </c>
      <c r="I17" s="146"/>
    </row>
    <row r="18" spans="2:19" x14ac:dyDescent="0.2">
      <c r="B18" s="147" t="s">
        <v>235</v>
      </c>
      <c r="C18" s="146">
        <f>INDEX('Corrections Tables'!E108,MATCH(_Exposure,'Corrections Tables'!B108,0),0)</f>
        <v>0</v>
      </c>
      <c r="D18" s="146">
        <f>INDEX('Corrections Tables'!F108,MATCH(_Exposure,'Corrections Tables'!B108,0),0)</f>
        <v>0</v>
      </c>
      <c r="E18" s="146">
        <f t="shared" si="0"/>
        <v>0</v>
      </c>
      <c r="F18" s="146">
        <f t="shared" si="1"/>
        <v>0</v>
      </c>
      <c r="I18" s="146"/>
    </row>
    <row r="19" spans="2:19" x14ac:dyDescent="0.2">
      <c r="B19" s="29" t="s">
        <v>243</v>
      </c>
      <c r="C19" s="146">
        <f>INDEX('Corrections Tables'!E108,MATCH(_Exposure,'Corrections Tables'!B108,0),0)</f>
        <v>0</v>
      </c>
      <c r="D19" s="146">
        <f>INDEX('Corrections Tables'!F108,MATCH(_Exposure,'Corrections Tables'!B108,0),0)</f>
        <v>0</v>
      </c>
      <c r="E19" s="146">
        <f t="shared" si="0"/>
        <v>0</v>
      </c>
      <c r="F19" s="146">
        <f t="shared" si="1"/>
        <v>0</v>
      </c>
      <c r="I19" s="146"/>
      <c r="M19" s="36"/>
      <c r="N19" s="30"/>
      <c r="O19" s="30"/>
      <c r="P19" s="30"/>
      <c r="Q19" s="29"/>
      <c r="R19" s="148"/>
      <c r="S19" s="2"/>
    </row>
    <row r="20" spans="2:19" x14ac:dyDescent="0.2">
      <c r="B20" s="29" t="s">
        <v>244</v>
      </c>
      <c r="C20" s="146">
        <f>INDEX('Corrections Tables'!E108,MATCH(_Exposure,'Corrections Tables'!B108,0),0)</f>
        <v>0</v>
      </c>
      <c r="D20" s="146">
        <f>INDEX('Corrections Tables'!F108,MATCH(_Exposure,'Corrections Tables'!B108,0),0)</f>
        <v>0</v>
      </c>
      <c r="E20" s="146">
        <f t="shared" si="0"/>
        <v>0</v>
      </c>
      <c r="F20" s="146">
        <f t="shared" si="1"/>
        <v>0</v>
      </c>
      <c r="I20" s="146"/>
      <c r="M20" s="36"/>
      <c r="N20" s="30"/>
      <c r="O20" s="30"/>
      <c r="P20" s="30"/>
      <c r="Q20" s="29"/>
      <c r="R20" s="148"/>
      <c r="S20" s="2"/>
    </row>
    <row r="21" spans="2:19" x14ac:dyDescent="0.2">
      <c r="B21" s="147" t="s">
        <v>223</v>
      </c>
      <c r="C21" s="146">
        <f>INDEX('Corrections Tables'!E108,MATCH(_Exposure,'Corrections Tables'!B108,0),0)</f>
        <v>0</v>
      </c>
      <c r="D21" s="146">
        <f>INDEX('Corrections Tables'!F108,MATCH(_Exposure,'Corrections Tables'!B108,0),0)</f>
        <v>0</v>
      </c>
      <c r="E21" s="146">
        <f t="shared" si="0"/>
        <v>0</v>
      </c>
      <c r="F21" s="146">
        <f t="shared" si="1"/>
        <v>0</v>
      </c>
      <c r="I21" s="146"/>
      <c r="M21" s="36"/>
      <c r="N21" s="30"/>
      <c r="O21" s="30"/>
      <c r="P21" s="30"/>
      <c r="Q21" s="29"/>
      <c r="R21" s="148"/>
      <c r="S21" s="2"/>
    </row>
    <row r="22" spans="2:19" x14ac:dyDescent="0.2">
      <c r="B22" s="147" t="s">
        <v>225</v>
      </c>
      <c r="C22" s="146">
        <f>INDEX('Corrections Tables'!E108,MATCH(_Exposure,'Corrections Tables'!B108,0),0)</f>
        <v>0</v>
      </c>
      <c r="D22" s="146">
        <f>INDEX('Corrections Tables'!F108,MATCH(_Exposure,'Corrections Tables'!B108,0),0)</f>
        <v>0</v>
      </c>
      <c r="E22" s="146">
        <f>C22</f>
        <v>0</v>
      </c>
      <c r="F22" s="146">
        <f>D22</f>
        <v>0</v>
      </c>
      <c r="I22" s="146"/>
      <c r="M22" s="36"/>
      <c r="N22" s="30"/>
      <c r="O22" s="30"/>
      <c r="P22" s="30"/>
      <c r="Q22" s="29"/>
      <c r="R22" s="148"/>
      <c r="S22" s="2"/>
    </row>
    <row r="23" spans="2:19" x14ac:dyDescent="0.2">
      <c r="B23" s="30" t="s">
        <v>323</v>
      </c>
      <c r="C23" s="146" t="e">
        <f>INDEX('Corrections Tables'!Q54:Q56,MATCH(_Exposure,'Corrections Tables'!R40:R42,0),0)</f>
        <v>#N/A</v>
      </c>
      <c r="D23" s="146" t="e">
        <f>INDEX('Corrections Tables'!Q40:Q42,MATCH(_Exposure,'Corrections Tables'!R40:R42,0),0)</f>
        <v>#N/A</v>
      </c>
      <c r="E23" s="146" t="e">
        <f>INDEX('Corrections Tables'!Q58:Q60,MATCH(_Exposure,'Corrections Tables'!R58:R60,0),0)</f>
        <v>#N/A</v>
      </c>
      <c r="F23" s="146" t="e">
        <f>INDEX('Corrections Tables'!Q44:Q46,MATCH(_Exposure,'Corrections Tables'!R44:R46,0),0)</f>
        <v>#N/A</v>
      </c>
      <c r="N23" s="149"/>
      <c r="O23" s="149"/>
      <c r="P23" s="149"/>
      <c r="Q23" s="29"/>
      <c r="R23" s="148"/>
      <c r="S23" s="2"/>
    </row>
    <row r="24" spans="2:19" x14ac:dyDescent="0.2">
      <c r="B24" s="108" t="s">
        <v>461</v>
      </c>
      <c r="C24" s="146">
        <f>INDEX('Corrections Tables'!E106,MATCH(_Exposure,'Corrections Tables'!B106,0),0)</f>
        <v>-0.02</v>
      </c>
      <c r="D24" s="146">
        <f>INDEX('Corrections Tables'!F106,MATCH(_Exposure,'Corrections Tables'!B106,0),0)</f>
        <v>-1.67E-2</v>
      </c>
      <c r="E24" s="146">
        <f>C24</f>
        <v>-0.02</v>
      </c>
      <c r="F24" s="146">
        <f>D24</f>
        <v>-1.67E-2</v>
      </c>
      <c r="G24" t="s">
        <v>474</v>
      </c>
      <c r="I24" s="119"/>
    </row>
    <row r="25" spans="2:19" x14ac:dyDescent="0.2">
      <c r="B25" s="30" t="s">
        <v>246</v>
      </c>
      <c r="C25" s="146">
        <v>0</v>
      </c>
      <c r="D25" s="146">
        <v>0</v>
      </c>
      <c r="E25" s="146">
        <f t="shared" ref="E25:E32" si="2">C25</f>
        <v>0</v>
      </c>
      <c r="F25" s="146">
        <f t="shared" ref="F25:F32" si="3">D25</f>
        <v>0</v>
      </c>
      <c r="I25" s="146"/>
    </row>
    <row r="26" spans="2:19" x14ac:dyDescent="0.2">
      <c r="B26" s="30" t="s">
        <v>247</v>
      </c>
      <c r="C26" s="146">
        <v>0</v>
      </c>
      <c r="D26" s="146">
        <v>0</v>
      </c>
      <c r="E26" s="146">
        <f t="shared" si="2"/>
        <v>0</v>
      </c>
      <c r="F26" s="146">
        <f t="shared" si="3"/>
        <v>0</v>
      </c>
      <c r="I26" s="146"/>
    </row>
    <row r="27" spans="2:19" x14ac:dyDescent="0.2">
      <c r="B27" s="30" t="s">
        <v>249</v>
      </c>
      <c r="C27" s="146">
        <v>0</v>
      </c>
      <c r="D27" s="146">
        <v>0</v>
      </c>
      <c r="E27" s="146">
        <f t="shared" si="2"/>
        <v>0</v>
      </c>
      <c r="F27" s="146">
        <f t="shared" si="3"/>
        <v>0</v>
      </c>
      <c r="I27" s="146"/>
    </row>
    <row r="28" spans="2:19" x14ac:dyDescent="0.2">
      <c r="B28" s="30" t="s">
        <v>250</v>
      </c>
      <c r="C28" s="146">
        <v>0</v>
      </c>
      <c r="D28" s="146">
        <v>0</v>
      </c>
      <c r="E28" s="146">
        <f t="shared" si="2"/>
        <v>0</v>
      </c>
      <c r="F28" s="146">
        <f t="shared" si="3"/>
        <v>0</v>
      </c>
      <c r="I28" s="146"/>
    </row>
    <row r="29" spans="2:19" x14ac:dyDescent="0.2">
      <c r="B29" s="122" t="s">
        <v>252</v>
      </c>
      <c r="C29" s="146">
        <v>0</v>
      </c>
      <c r="D29" s="146">
        <v>0</v>
      </c>
      <c r="E29" s="146">
        <f t="shared" si="2"/>
        <v>0</v>
      </c>
      <c r="F29" s="146">
        <f t="shared" si="3"/>
        <v>0</v>
      </c>
      <c r="I29" s="146"/>
    </row>
    <row r="30" spans="2:19" x14ac:dyDescent="0.2">
      <c r="B30" s="108" t="s">
        <v>217</v>
      </c>
      <c r="C30" s="146">
        <v>0</v>
      </c>
      <c r="D30" s="146">
        <v>0</v>
      </c>
      <c r="E30" s="146">
        <f t="shared" si="2"/>
        <v>0</v>
      </c>
      <c r="F30" s="146">
        <f t="shared" si="3"/>
        <v>0</v>
      </c>
      <c r="I30" s="146"/>
    </row>
    <row r="31" spans="2:19" x14ac:dyDescent="0.2">
      <c r="B31" s="108" t="s">
        <v>219</v>
      </c>
      <c r="C31" s="146">
        <v>0</v>
      </c>
      <c r="D31" s="146">
        <v>0</v>
      </c>
      <c r="E31" s="146">
        <f t="shared" si="2"/>
        <v>0</v>
      </c>
      <c r="F31" s="146">
        <f t="shared" si="3"/>
        <v>0</v>
      </c>
      <c r="I31" s="146"/>
    </row>
    <row r="32" spans="2:19" x14ac:dyDescent="0.2">
      <c r="B32" s="108" t="s">
        <v>446</v>
      </c>
      <c r="C32" s="146">
        <v>0</v>
      </c>
      <c r="D32" s="146">
        <v>0</v>
      </c>
      <c r="E32" s="146">
        <f t="shared" si="2"/>
        <v>0</v>
      </c>
      <c r="F32" s="146">
        <f t="shared" si="3"/>
        <v>0</v>
      </c>
      <c r="I32" s="146"/>
    </row>
    <row r="33" spans="2:23" x14ac:dyDescent="0.2">
      <c r="B33" s="108" t="s">
        <v>495</v>
      </c>
      <c r="C33" s="146">
        <v>0</v>
      </c>
      <c r="D33" s="146">
        <v>0</v>
      </c>
      <c r="E33" s="146">
        <f t="shared" ref="E33:F35" si="4">C33</f>
        <v>0</v>
      </c>
      <c r="F33" s="146">
        <f t="shared" si="4"/>
        <v>0</v>
      </c>
      <c r="I33" s="146"/>
    </row>
    <row r="34" spans="2:23" x14ac:dyDescent="0.2">
      <c r="B34" s="108" t="s">
        <v>577</v>
      </c>
      <c r="C34" s="146">
        <v>0</v>
      </c>
      <c r="D34" s="146">
        <v>0</v>
      </c>
      <c r="E34" s="146">
        <f t="shared" si="4"/>
        <v>0</v>
      </c>
      <c r="F34" s="146">
        <f t="shared" si="4"/>
        <v>0</v>
      </c>
      <c r="I34" s="146"/>
    </row>
    <row r="35" spans="2:23" x14ac:dyDescent="0.2">
      <c r="B35" s="108" t="s">
        <v>206</v>
      </c>
      <c r="C35" s="146">
        <v>0</v>
      </c>
      <c r="D35" s="146">
        <v>0</v>
      </c>
      <c r="E35" s="146">
        <f t="shared" si="4"/>
        <v>0</v>
      </c>
      <c r="F35" s="146">
        <f t="shared" si="4"/>
        <v>0</v>
      </c>
      <c r="I35" s="146"/>
    </row>
    <row r="38" spans="2:23" x14ac:dyDescent="0.2">
      <c r="G38" s="119" t="s">
        <v>478</v>
      </c>
      <c r="Q38" t="s">
        <v>406</v>
      </c>
    </row>
    <row r="39" spans="2:23" x14ac:dyDescent="0.2">
      <c r="Q39" t="s">
        <v>407</v>
      </c>
    </row>
    <row r="40" spans="2:23" ht="38.25" customHeight="1" x14ac:dyDescent="0.2">
      <c r="J40" s="187" t="s">
        <v>451</v>
      </c>
      <c r="K40" s="150">
        <f>K41</f>
        <v>2.2954861111111112E-5</v>
      </c>
      <c r="L40" s="1"/>
      <c r="M40" s="1"/>
      <c r="Q40" s="419" t="s">
        <v>408</v>
      </c>
      <c r="R40" s="420"/>
      <c r="S40" s="421"/>
    </row>
    <row r="41" spans="2:23" x14ac:dyDescent="0.2">
      <c r="J41" s="186" t="s">
        <v>450</v>
      </c>
      <c r="K41" s="152">
        <f>IF(K42+(L46/24/60/60)&lt;0,K42+(L46/24/60/60)+1,K42+(L46/24/60/60))</f>
        <v>2.2954861111111112E-5</v>
      </c>
      <c r="M41" s="153"/>
      <c r="Q41" s="168"/>
      <c r="R41" s="417" t="s">
        <v>402</v>
      </c>
      <c r="S41" s="418"/>
      <c r="T41" s="422"/>
      <c r="U41" s="423"/>
      <c r="V41" s="412"/>
      <c r="W41" s="412"/>
    </row>
    <row r="42" spans="2:23" x14ac:dyDescent="0.2">
      <c r="J42" s="186" t="s">
        <v>456</v>
      </c>
      <c r="K42" s="152">
        <f>SUM(K43:K45)</f>
        <v>2.3148148148148147E-5</v>
      </c>
      <c r="Q42" s="168"/>
      <c r="R42" s="415" t="s">
        <v>400</v>
      </c>
      <c r="S42" s="416"/>
      <c r="T42" s="436"/>
      <c r="U42" s="413"/>
      <c r="V42" s="413"/>
      <c r="W42" s="413"/>
    </row>
    <row r="43" spans="2:23" x14ac:dyDescent="0.2">
      <c r="J43" s="190" t="s">
        <v>454</v>
      </c>
      <c r="K43" s="152">
        <f>I46/24/60/60</f>
        <v>2.3148148148148147E-5</v>
      </c>
      <c r="L43" s="154">
        <f>IF(AND((DTotal_Corr-DDecHr-DDecMin)&lt;0,DDecHr=0,DDecMin=0),(DDecHr*24)-1+24,IF(AND((DTotal_Corr-DDecHr-DDecMin)*24*60*60&lt;0,DDecHr&lt;&gt;0,DDecMin=0),(DDecHr*24)-1,DDecHr*24))</f>
        <v>0</v>
      </c>
      <c r="M43" s="151" t="s">
        <v>356</v>
      </c>
      <c r="Q43" s="169" t="s">
        <v>397</v>
      </c>
      <c r="R43" s="169" t="s">
        <v>144</v>
      </c>
      <c r="S43" s="113" t="s">
        <v>143</v>
      </c>
      <c r="T43" s="178"/>
      <c r="U43" s="119"/>
      <c r="V43" s="119"/>
      <c r="W43" s="119"/>
    </row>
    <row r="44" spans="2:23" x14ac:dyDescent="0.2">
      <c r="J44" s="190" t="s">
        <v>455</v>
      </c>
      <c r="K44" s="152">
        <f>H46/24/60</f>
        <v>0</v>
      </c>
      <c r="L44" s="154">
        <f>IF(AND(((DTotal_Corr-DDecHr-DDecMin)*24*60*60)&lt;0,DDecMin=0),(DDecMin*24*60)-1+60,IF((DTotal_Corr-DDecHr-DDecMin)*24*60*60&lt;0,(DDecMin*24*60)-1,DDecMin*24*60))</f>
        <v>0</v>
      </c>
      <c r="M44" s="151" t="s">
        <v>357</v>
      </c>
      <c r="Q44" s="169" t="s">
        <v>199</v>
      </c>
      <c r="R44" s="171">
        <v>0</v>
      </c>
      <c r="S44" s="176">
        <v>0</v>
      </c>
      <c r="T44" s="65"/>
      <c r="U44" s="177"/>
      <c r="V44" s="146"/>
      <c r="W44" s="146"/>
    </row>
    <row r="45" spans="2:23" x14ac:dyDescent="0.2">
      <c r="J45" s="186" t="s">
        <v>480</v>
      </c>
      <c r="K45" s="152">
        <f>G46/24</f>
        <v>0</v>
      </c>
      <c r="L45" s="155">
        <f>IF(((DTotal_Corr-DDecHr-DDecMin))&lt;0,((DTotal_Corr-DDecHr-DDecMin)*24*60*60)+60,((DTotal_Corr-DDecHr-DDecMin)*24*60*60))</f>
        <v>1.9833000000000001</v>
      </c>
      <c r="M45" s="151" t="s">
        <v>358</v>
      </c>
      <c r="Q45" s="169" t="s">
        <v>206</v>
      </c>
      <c r="R45" s="171">
        <v>0</v>
      </c>
      <c r="S45" s="176">
        <v>0</v>
      </c>
      <c r="T45" s="179"/>
      <c r="U45" s="177"/>
      <c r="V45" s="146"/>
      <c r="W45" s="146"/>
    </row>
    <row r="46" spans="2:23" ht="15" customHeight="1" x14ac:dyDescent="0.2">
      <c r="G46" s="156">
        <f>_SMHr</f>
        <v>0</v>
      </c>
      <c r="H46" s="156">
        <f>_SMMi</f>
        <v>0</v>
      </c>
      <c r="I46" s="157">
        <f>_SMSe</f>
        <v>2</v>
      </c>
      <c r="J46" s="194">
        <f>IF(OR(_VTI_Type="AFT or OFT Flash Tag",_OTA_Used="AOTA w/ CamDelay Corrections",_OTA_Used="R-OTE w/ CamDelay Corrections",_OTA_Used="Manual",_OTA_Used="Other - Specify in Comments"),0,IF(_CamFormat="PAL/CCIR",INDEX(PAL_CORR,MATCH(_CamType,Cor_Camera_List,0)),INDEX(NTSC_CORR,MATCH(_CamType,Cor_Camera_List,0),0)))</f>
        <v>0</v>
      </c>
      <c r="K46" s="194">
        <f>IF(AND(OR(_CamType="RunCam Night Eagle Astro",_CamType="RunCam Night Eagle",_VTI_Type="AFT or OFT Flash Tag"),_OTA_Used&lt;&gt;"Occular"),0,IF(_CamFormat="PAL/CCIR",INDEX(VTIoff_PAL_CCIR,MATCH(_OTA_Used,_OTE_List,0)),INDEX(VTIoff_NTSC_EIA,MATCH(_OTA_Used,_OTE_List,0),0)))</f>
        <v>-1.67E-2</v>
      </c>
      <c r="L46" s="194">
        <f>IF(OR(_CamFormat="AAV-NTSC",_CamFormat="AAV-PAL",_CamFormat="ADVS"),0,J46+K46)</f>
        <v>-1.67E-2</v>
      </c>
      <c r="M46" s="437" t="s">
        <v>476</v>
      </c>
      <c r="N46" s="438"/>
      <c r="O46" s="438"/>
      <c r="Q46" s="170" t="s">
        <v>445</v>
      </c>
      <c r="R46" s="171">
        <v>0</v>
      </c>
      <c r="S46" s="176">
        <v>0</v>
      </c>
      <c r="T46" s="180"/>
      <c r="U46" s="146"/>
      <c r="V46" s="146"/>
      <c r="W46" s="146"/>
    </row>
    <row r="47" spans="2:23" x14ac:dyDescent="0.2">
      <c r="F47" s="160" t="s">
        <v>359</v>
      </c>
      <c r="G47" s="161" t="s">
        <v>360</v>
      </c>
      <c r="H47" s="161" t="s">
        <v>361</v>
      </c>
      <c r="I47" s="161" t="s">
        <v>362</v>
      </c>
      <c r="J47" s="159" t="s">
        <v>353</v>
      </c>
      <c r="K47" s="162" t="s">
        <v>354</v>
      </c>
      <c r="L47" s="159" t="s">
        <v>355</v>
      </c>
      <c r="M47" s="158"/>
      <c r="Q47" s="172" t="s">
        <v>203</v>
      </c>
      <c r="R47" s="171">
        <v>0.02</v>
      </c>
      <c r="S47" s="176">
        <f>IF(_CamType="RunCam Night Eagle Astro",0.0167,0)</f>
        <v>0</v>
      </c>
      <c r="T47" s="180"/>
      <c r="U47" s="146"/>
      <c r="V47" s="146"/>
      <c r="W47" s="146"/>
    </row>
    <row r="48" spans="2:23" x14ac:dyDescent="0.2">
      <c r="G48" s="156">
        <f>_ASHr</f>
        <v>0</v>
      </c>
      <c r="H48" s="156">
        <f>_ASMi</f>
        <v>0</v>
      </c>
      <c r="I48" s="157">
        <f>_ASSe</f>
        <v>1</v>
      </c>
      <c r="J48" s="194">
        <f>IF(OR(_VTI_Type="AFT or OFT Flash Tag",_OTA_Used="AOTA w/ CamDelay Corrections",_OTA_Used="R-OTE w/ CamDelay Corrections",_OTA_Used="Manual",_OTA_Used="Other - Specify in Comments"),0,IF(_CamFormat="PAL/CCIR",INDEX(PAL_CORR_R,MATCH(_CamType,Cor_Camera_List,0)),INDEX(NTSC_CORR_R,MATCH(_CamType,Cor_Camera_List,0),0)))</f>
        <v>0</v>
      </c>
      <c r="K48" s="194">
        <f>IF(AND(OR(_CamType="RunCam Night Eagle Astro",_CamType="RunCam Night Eagle",_VTI_Type="AFT or OFT Flash Tag"),_OTA_Used&lt;&gt;"Occular"),0,IF(_CamFormat="PAL/CCIR",INDEX(VTIoff_PAL_CCIR,MATCH(_OTA_Used,_OTE_List,0)),INDEX(VTIoff_NTSC_EIA,MATCH(_OTA_Used,_OTE_List,0),0)))</f>
        <v>-1.67E-2</v>
      </c>
      <c r="L48" s="194">
        <f>IF(OR(_CamFormat="AAV-NTSC",_CamFormat="AAV-PAL",_CamFormat="ADVS"),0,J48+K48)</f>
        <v>-1.67E-2</v>
      </c>
      <c r="M48" s="437" t="s">
        <v>477</v>
      </c>
      <c r="N48" s="438"/>
      <c r="O48" s="438"/>
      <c r="Q48" s="170" t="s">
        <v>398</v>
      </c>
      <c r="R48" s="171">
        <v>0</v>
      </c>
      <c r="S48" s="176">
        <v>0</v>
      </c>
      <c r="T48" s="180"/>
      <c r="U48" s="146"/>
      <c r="V48" s="146"/>
      <c r="W48" s="146"/>
    </row>
    <row r="49" spans="6:34" x14ac:dyDescent="0.2">
      <c r="J49" s="189" t="s">
        <v>460</v>
      </c>
      <c r="K49" s="163">
        <f>G48/24</f>
        <v>0</v>
      </c>
      <c r="L49" s="155">
        <f>IF(((RTotal_Corr-RDecHr-RDecMin)*24*60*60)&lt;0,((RTotal_Corr-RDecHr-RDecMin)*24*60*60)+60,((RTotal_Corr-RDecHr-RDecMin)*24*60*60))</f>
        <v>0.98329999999999984</v>
      </c>
      <c r="M49" s="164" t="s">
        <v>358</v>
      </c>
      <c r="Q49" s="170" t="s">
        <v>399</v>
      </c>
      <c r="R49" s="171">
        <f>IF(OR(_CamType="QHY 174 GPS",_CamType="Other - Specify in Comments",_CamType="Visual",_CamType="Photometer",_CamType="CCD Drift Scan",_CamType="Flea 3-03S1 with ADVS",_CamType="Flea 3-03S3 with ADVS",_CamType="Flea 3-28S4M with ADVS",_CamType="Grasshopper Express with ADVS",_CamType="G-Star",0),0,-0.02)</f>
        <v>-0.02</v>
      </c>
      <c r="S49" s="171">
        <f>IF(OR(_CamType="QHY 174 GPS",_CamType="Other - Specify in Comments",_CamType="Visual",_CamType="Photometer",_CamType="CCD Drift Scan",_CamType="Flea 3-03S1 with ADVS",_CamType="Flea 3-03S3 with ADVS",_CamType="Flea 3-28S4M with ADVS",_CamType="Grasshopper Express with ADVS",_CamType="G-Star",0),0,-0.0167)</f>
        <v>-1.67E-2</v>
      </c>
      <c r="T49" s="180"/>
      <c r="U49" s="146"/>
      <c r="V49" s="146"/>
      <c r="W49" s="146"/>
    </row>
    <row r="50" spans="6:34" x14ac:dyDescent="0.2">
      <c r="J50" s="191" t="s">
        <v>459</v>
      </c>
      <c r="K50" s="163">
        <f>H48/24/60</f>
        <v>0</v>
      </c>
      <c r="L50" s="154">
        <f>IF(AND(((RTotal_Corr-RDecHr-RDecMin)*24*60*60)&lt;0,RDecMin=0),(RDecMin*24*60)-1+60,IF((RTotal_Corr-RDecHr-RDecMin)*24*60*60&lt;0,(RDecMin*24*60)-1,RDecMin*24*60))</f>
        <v>0</v>
      </c>
      <c r="M50" s="164" t="s">
        <v>357</v>
      </c>
      <c r="Q50" s="173" t="s">
        <v>401</v>
      </c>
      <c r="R50" s="171">
        <f>IF(OR(_CamType="QHY 174 GPS",_CamType="Other - Specify in Comments",_CamType="Visual",_CamType="Photometer",_CamType="CCD Drift Scan",_CamType="Flea 3-03S1 with ADVS",_CamType="Flea 3-03S3 with ADVS",_CamType="Flea 3-28S4M with ADVS",_CamType="Grasshopper Express with ADVS",_CamType="G-Star",0),0,-0.02)</f>
        <v>-0.02</v>
      </c>
      <c r="S50" s="171">
        <f>IF(OR(_CamType="QHY 174 GPS",_CamType="Other - Specify in Comments",_CamType="Visual",_CamType="Photometer",_CamType="CCD Drift Scan",_CamType="Flea 3-03S1 with ADVS",_CamType="Flea 3-03S3 with ADVS",_CamType="Flea 3-28S4M with ADVS",_CamType="Grasshopper Express with ADVS",_CamType="G-Star",0),0,-0.0167)</f>
        <v>-1.67E-2</v>
      </c>
      <c r="T50" s="180"/>
      <c r="U50" s="146"/>
      <c r="V50" s="146"/>
      <c r="W50" s="146"/>
    </row>
    <row r="51" spans="6:34" x14ac:dyDescent="0.2">
      <c r="J51" s="191" t="s">
        <v>458</v>
      </c>
      <c r="K51" s="163">
        <f>I48/24/60/60</f>
        <v>1.1574074074074073E-5</v>
      </c>
      <c r="L51" s="154">
        <f>IF(AND((RTotal_Corr-RDecHr-RDecMin)&lt;0,RDecHr=0,DDecMin=0),(RDecHr*24)-1+24,IF(AND((RTotal_Corr-RDecHr-RDecMin)*24*60*60&lt;0,RDecHr&lt;&gt;0,RDecMin=0),(RDecHr*24)-1,RDecHr*24))</f>
        <v>0</v>
      </c>
      <c r="M51" s="164" t="s">
        <v>356</v>
      </c>
      <c r="Q51" s="174"/>
      <c r="R51" s="175"/>
      <c r="S51" s="175"/>
      <c r="T51" s="180"/>
      <c r="U51" s="146"/>
      <c r="V51" s="146"/>
      <c r="W51" s="146"/>
    </row>
    <row r="52" spans="6:34" x14ac:dyDescent="0.2">
      <c r="J52" s="189" t="s">
        <v>457</v>
      </c>
      <c r="K52" s="163">
        <f>SUM(K49:K51)</f>
        <v>1.1574074074074073E-5</v>
      </c>
      <c r="Q52" s="108"/>
      <c r="R52" s="146"/>
      <c r="S52" s="146"/>
      <c r="T52" s="146"/>
      <c r="U52" s="146"/>
    </row>
    <row r="53" spans="6:34" x14ac:dyDescent="0.2">
      <c r="J53" s="189" t="s">
        <v>453</v>
      </c>
      <c r="K53" s="163">
        <f>IF(K52+(L48/24/60/60)&lt;0,K52+(L48/24/60/60)+1,K52+(L48/24/60/60))</f>
        <v>1.1380787037037036E-5</v>
      </c>
      <c r="T53" s="177"/>
      <c r="U53" s="146"/>
    </row>
    <row r="54" spans="6:34" ht="38.25" x14ac:dyDescent="0.2">
      <c r="J54" s="188" t="s">
        <v>452</v>
      </c>
      <c r="K54" s="165">
        <f>K53</f>
        <v>1.1380787037037036E-5</v>
      </c>
      <c r="O54" t="s">
        <v>470</v>
      </c>
      <c r="T54" s="119"/>
    </row>
    <row r="55" spans="6:34" x14ac:dyDescent="0.2">
      <c r="O55" t="s">
        <v>469</v>
      </c>
    </row>
    <row r="56" spans="6:34" x14ac:dyDescent="0.2">
      <c r="G56" t="s">
        <v>403</v>
      </c>
      <c r="O56" t="s">
        <v>467</v>
      </c>
      <c r="Q56" s="166"/>
      <c r="R56" s="129"/>
      <c r="S56" s="137"/>
    </row>
    <row r="57" spans="6:34" ht="15.75" x14ac:dyDescent="0.2">
      <c r="G57" s="431" t="s">
        <v>347</v>
      </c>
      <c r="H57" s="431"/>
      <c r="I57" s="431"/>
      <c r="J57" s="431"/>
      <c r="K57" s="96">
        <f>IF(_OTA_Used=" ",0,'Corrections Calculations'!L43)</f>
        <v>0</v>
      </c>
      <c r="L57" s="97">
        <f>IF(_OTA_Used=" ",0,'Corrections Calculations'!L44)</f>
        <v>0</v>
      </c>
      <c r="M57" s="133">
        <f>IF(_OTA_Used=" ",0,'Corrections Calculations'!L45)</f>
        <v>1.9833000000000001</v>
      </c>
      <c r="N57" s="166"/>
      <c r="O57" s="133">
        <f>DATA!M33</f>
        <v>0</v>
      </c>
      <c r="P57" s="166"/>
      <c r="Q57" s="119"/>
      <c r="R57" s="135"/>
      <c r="S57" s="135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</row>
    <row r="58" spans="6:34" ht="15" x14ac:dyDescent="0.2">
      <c r="F58" s="429"/>
      <c r="G58" s="430"/>
      <c r="H58" s="430"/>
      <c r="I58" s="430"/>
      <c r="J58" s="430"/>
      <c r="K58" s="125" t="str">
        <f>IF(OR(_DSe&gt;60,_RSe&gt;60),"Time Too Close to 00:00:00 -- Autocorrection Equations Invalid -- Correct Manually"," ")</f>
        <v xml:space="preserve"> </v>
      </c>
      <c r="L58" s="107"/>
      <c r="M58" s="125"/>
      <c r="N58" s="107"/>
      <c r="O58" s="134"/>
      <c r="P58" s="134"/>
      <c r="Q58" s="119"/>
      <c r="R58" s="137"/>
      <c r="S58" s="137"/>
      <c r="T58" s="136"/>
      <c r="U58" s="137"/>
      <c r="V58" s="137"/>
      <c r="W58" s="137"/>
      <c r="X58" s="138"/>
      <c r="Y58" s="425"/>
      <c r="Z58" s="425"/>
      <c r="AA58" s="425"/>
      <c r="AB58" s="135"/>
      <c r="AC58" s="139"/>
      <c r="AD58" s="140"/>
      <c r="AE58" s="137"/>
      <c r="AF58" s="424" t="str">
        <f>IF(_RSe&gt;60,'Corrections Calculations'!K54," ")</f>
        <v xml:space="preserve"> </v>
      </c>
      <c r="AG58" s="424"/>
      <c r="AH58" s="424"/>
    </row>
    <row r="59" spans="6:34" ht="15.75" x14ac:dyDescent="0.2">
      <c r="G59" s="431" t="s">
        <v>348</v>
      </c>
      <c r="H59" s="431"/>
      <c r="I59" s="431"/>
      <c r="J59" s="431"/>
      <c r="K59" s="96">
        <f>IF(_OTA_Used=" ",0,'Corrections Calculations'!L51)</f>
        <v>0</v>
      </c>
      <c r="L59" s="97">
        <f>IF(_OTA_Used=" ",0,'Corrections Calculations'!L50)</f>
        <v>0</v>
      </c>
      <c r="M59" s="133">
        <f>IF(_OTA_Used=" ",0,'Corrections Calculations'!L49)</f>
        <v>0.98329999999999984</v>
      </c>
      <c r="N59" s="166"/>
      <c r="O59" s="133">
        <f>DATA!M35</f>
        <v>0</v>
      </c>
      <c r="P59" s="166"/>
      <c r="Q59" s="119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</row>
    <row r="60" spans="6:34" x14ac:dyDescent="0.2">
      <c r="O60" t="s">
        <v>468</v>
      </c>
    </row>
    <row r="66" spans="2:16" x14ac:dyDescent="0.2">
      <c r="F66" s="1" t="s">
        <v>364</v>
      </c>
      <c r="K66" s="145"/>
    </row>
    <row r="67" spans="2:16" ht="15.75" x14ac:dyDescent="0.2">
      <c r="F67" s="411" t="s">
        <v>382</v>
      </c>
      <c r="G67" s="411"/>
      <c r="H67" s="411"/>
      <c r="I67" s="411"/>
      <c r="J67" s="411"/>
      <c r="K67" s="411"/>
      <c r="L67" s="411"/>
      <c r="M67" s="411"/>
      <c r="N67" s="411"/>
      <c r="O67" s="411"/>
      <c r="P67" s="411"/>
    </row>
    <row r="68" spans="2:16" x14ac:dyDescent="0.2">
      <c r="F68" s="72"/>
      <c r="G68" s="72"/>
      <c r="H68" s="72"/>
      <c r="I68" s="100" t="s">
        <v>381</v>
      </c>
      <c r="J68" s="100" t="s">
        <v>383</v>
      </c>
      <c r="K68" s="72"/>
      <c r="L68" s="72"/>
      <c r="M68" s="72"/>
      <c r="N68" s="72"/>
      <c r="O68" s="72"/>
      <c r="P68" s="72"/>
    </row>
    <row r="69" spans="2:16" x14ac:dyDescent="0.2">
      <c r="F69" s="426" t="s">
        <v>324</v>
      </c>
      <c r="G69" s="427"/>
      <c r="H69" s="428"/>
      <c r="I69" s="130" t="s">
        <v>298</v>
      </c>
      <c r="J69" s="130" t="s">
        <v>298</v>
      </c>
      <c r="K69" s="432" t="s">
        <v>327</v>
      </c>
      <c r="L69" s="406"/>
      <c r="M69" s="406"/>
      <c r="N69" s="406"/>
      <c r="O69" s="406"/>
      <c r="P69" s="406"/>
    </row>
    <row r="70" spans="2:16" x14ac:dyDescent="0.2">
      <c r="F70" s="426" t="s">
        <v>325</v>
      </c>
      <c r="G70" s="427"/>
      <c r="H70" s="428"/>
      <c r="I70" s="101" t="s">
        <v>326</v>
      </c>
      <c r="J70" s="105" t="s">
        <v>384</v>
      </c>
      <c r="K70" s="132" t="s">
        <v>327</v>
      </c>
      <c r="L70" s="132"/>
      <c r="M70" s="132"/>
      <c r="N70" s="132"/>
      <c r="O70" s="132"/>
      <c r="P70" s="132"/>
    </row>
    <row r="71" spans="2:16" x14ac:dyDescent="0.2">
      <c r="F71" s="426" t="s">
        <v>297</v>
      </c>
      <c r="G71" s="427"/>
      <c r="H71" s="428"/>
      <c r="I71" s="102" t="s">
        <v>298</v>
      </c>
      <c r="J71" s="103" t="s">
        <v>298</v>
      </c>
      <c r="K71" s="92"/>
      <c r="L71" s="92"/>
      <c r="M71" s="72"/>
      <c r="N71" s="72"/>
      <c r="O71" s="72"/>
      <c r="P71" s="72"/>
    </row>
    <row r="72" spans="2:16" x14ac:dyDescent="0.2">
      <c r="B72" s="36"/>
      <c r="C72" s="36"/>
      <c r="D72" s="36"/>
      <c r="E72" s="36"/>
      <c r="F72" s="426" t="s">
        <v>299</v>
      </c>
      <c r="G72" s="427"/>
      <c r="H72" s="428"/>
      <c r="I72" s="102">
        <v>-1.6670000000000001E-2</v>
      </c>
      <c r="J72" s="104">
        <v>-0.02</v>
      </c>
      <c r="K72" s="92"/>
      <c r="L72" s="92"/>
      <c r="M72" s="72"/>
      <c r="N72" s="72"/>
      <c r="O72" s="72"/>
      <c r="P72" s="72"/>
    </row>
    <row r="73" spans="2:16" x14ac:dyDescent="0.2">
      <c r="B73" s="36"/>
      <c r="C73" s="36"/>
      <c r="D73" s="36"/>
      <c r="E73" s="36"/>
      <c r="F73" s="426" t="s">
        <v>300</v>
      </c>
      <c r="G73" s="427"/>
      <c r="H73" s="428"/>
      <c r="I73" s="102" t="s">
        <v>298</v>
      </c>
      <c r="J73" s="103" t="s">
        <v>298</v>
      </c>
      <c r="K73" s="92"/>
      <c r="L73" s="92"/>
      <c r="M73" s="72"/>
      <c r="N73" s="72"/>
      <c r="O73" s="72"/>
      <c r="P73" s="72"/>
    </row>
    <row r="74" spans="2:16" x14ac:dyDescent="0.2">
      <c r="B74" s="36"/>
      <c r="C74" s="36"/>
      <c r="D74" s="36"/>
      <c r="E74" s="36"/>
      <c r="F74" s="426" t="s">
        <v>301</v>
      </c>
      <c r="G74" s="427"/>
      <c r="H74" s="428"/>
      <c r="I74" s="102">
        <v>-1.6670000000000001E-2</v>
      </c>
      <c r="J74" s="104">
        <v>-0.02</v>
      </c>
      <c r="K74" s="92"/>
      <c r="L74" s="92"/>
      <c r="M74" s="72"/>
      <c r="N74" s="72"/>
      <c r="O74" s="72"/>
      <c r="P74" s="72"/>
    </row>
    <row r="75" spans="2:16" x14ac:dyDescent="0.2">
      <c r="B75" s="36"/>
      <c r="C75" s="36"/>
      <c r="D75" s="36"/>
      <c r="E75" s="36"/>
      <c r="F75" s="433" t="s">
        <v>524</v>
      </c>
      <c r="G75" s="434"/>
      <c r="H75" s="435"/>
      <c r="I75" s="104">
        <v>0</v>
      </c>
      <c r="J75" s="104">
        <v>0</v>
      </c>
      <c r="K75" s="92"/>
      <c r="L75" s="92"/>
      <c r="M75" s="72"/>
      <c r="N75" s="72"/>
      <c r="O75" s="72"/>
      <c r="P75" s="72"/>
    </row>
    <row r="76" spans="2:16" x14ac:dyDescent="0.2">
      <c r="B76" s="36"/>
      <c r="C76" s="36"/>
      <c r="D76" s="36"/>
      <c r="E76" s="36"/>
    </row>
  </sheetData>
  <sheetProtection sheet="1" selectLockedCells="1" selectUnlockedCells="1"/>
  <mergeCells count="25">
    <mergeCell ref="F73:H73"/>
    <mergeCell ref="F75:H75"/>
    <mergeCell ref="T42:U42"/>
    <mergeCell ref="M46:O46"/>
    <mergeCell ref="M48:O48"/>
    <mergeCell ref="G57:J57"/>
    <mergeCell ref="F74:H74"/>
    <mergeCell ref="AF58:AH58"/>
    <mergeCell ref="Y58:AA58"/>
    <mergeCell ref="F70:H70"/>
    <mergeCell ref="F71:H71"/>
    <mergeCell ref="F72:H72"/>
    <mergeCell ref="F58:J58"/>
    <mergeCell ref="G59:J59"/>
    <mergeCell ref="F67:P67"/>
    <mergeCell ref="F69:H69"/>
    <mergeCell ref="K69:P69"/>
    <mergeCell ref="V41:W41"/>
    <mergeCell ref="V42:W42"/>
    <mergeCell ref="C7:D7"/>
    <mergeCell ref="E7:F7"/>
    <mergeCell ref="R42:S42"/>
    <mergeCell ref="R41:S41"/>
    <mergeCell ref="Q40:S40"/>
    <mergeCell ref="T41:U41"/>
  </mergeCells>
  <phoneticPr fontId="0" type="noConversion"/>
  <conditionalFormatting sqref="C8">
    <cfRule type="expression" dxfId="10" priority="33" stopIfTrue="1">
      <formula>"DATA!$L$25"</formula>
    </cfRule>
  </conditionalFormatting>
  <conditionalFormatting sqref="C8:C24">
    <cfRule type="expression" dxfId="9" priority="9" stopIfTrue="1">
      <formula>$C$8="PAL/CCIR"</formula>
    </cfRule>
  </conditionalFormatting>
  <conditionalFormatting sqref="C25:D32">
    <cfRule type="expression" dxfId="8" priority="20" stopIfTrue="1">
      <formula>$C$8="PAL/CCIR"</formula>
    </cfRule>
  </conditionalFormatting>
  <conditionalFormatting sqref="C33:E35">
    <cfRule type="expression" dxfId="7" priority="3" stopIfTrue="1">
      <formula>$C$8="PAL/CCIR"</formula>
    </cfRule>
  </conditionalFormatting>
  <conditionalFormatting sqref="D8">
    <cfRule type="expression" dxfId="6" priority="28" stopIfTrue="1">
      <formula>$D$8="NTSC/EIA"</formula>
    </cfRule>
  </conditionalFormatting>
  <conditionalFormatting sqref="D10:D35">
    <cfRule type="expression" dxfId="5" priority="2" stopIfTrue="1">
      <formula>$D$8="NTSC/EIA"</formula>
    </cfRule>
  </conditionalFormatting>
  <conditionalFormatting sqref="E8">
    <cfRule type="expression" dxfId="4" priority="11" stopIfTrue="1">
      <formula>$C$8="PAL/CCIR"</formula>
    </cfRule>
    <cfRule type="expression" dxfId="3" priority="12" stopIfTrue="1">
      <formula>"DATA!$L$25"</formula>
    </cfRule>
  </conditionalFormatting>
  <conditionalFormatting sqref="E10:E32">
    <cfRule type="expression" dxfId="2" priority="7" stopIfTrue="1">
      <formula>$C$8="PAL/CCIR"</formula>
    </cfRule>
  </conditionalFormatting>
  <conditionalFormatting sqref="F8">
    <cfRule type="expression" dxfId="1" priority="13" stopIfTrue="1">
      <formula>$D$8="NTSC/EIA"</formula>
    </cfRule>
  </conditionalFormatting>
  <conditionalFormatting sqref="F10:F35">
    <cfRule type="expression" dxfId="0" priority="1" stopIfTrue="1">
      <formula>$D$8="NTSC/EIA"</formula>
    </cfRule>
  </conditionalFormatting>
  <dataValidations count="4">
    <dataValidation type="decimal" allowBlank="1" showInputMessage="1" showErrorMessage="1" error="0 to 59.999" sqref="M59 M57" xr:uid="{00000000-0002-0000-0600-000000000000}">
      <formula1>0</formula1>
      <formula2>59.9999</formula2>
    </dataValidation>
    <dataValidation type="whole" allowBlank="1" showInputMessage="1" showErrorMessage="1" error="0 to 59" sqref="L57" xr:uid="{00000000-0002-0000-0600-000001000000}">
      <formula1>0</formula1>
      <formula2>59</formula2>
    </dataValidation>
    <dataValidation type="whole" allowBlank="1" showInputMessage="1" showErrorMessage="1" error="0 to 24" sqref="K57 K59" xr:uid="{00000000-0002-0000-0600-000002000000}">
      <formula1>0</formula1>
      <formula2>24</formula2>
    </dataValidation>
    <dataValidation type="decimal" allowBlank="1" showInputMessage="1" showErrorMessage="1" error="Number please" sqref="N59:P59 Q56 N57:P57" xr:uid="{00000000-0002-0000-0600-000003000000}">
      <formula1>0</formula1>
      <formula2>99</formula2>
    </dataValidation>
  </dataValidations>
  <pageMargins left="0.7" right="0.7" top="0.75" bottom="0.75" header="0.3" footer="0.3"/>
  <pageSetup orientation="portrait" r:id="rId1"/>
  <ignoredErrors>
    <ignoredError sqref="C18:F19 C20:D20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"/>
  <sheetViews>
    <sheetView workbookViewId="0"/>
  </sheetViews>
  <sheetFormatPr defaultRowHeight="12.75" x14ac:dyDescent="0.2"/>
  <sheetData/>
  <sheetProtection formatRows="0"/>
  <phoneticPr fontId="2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156</vt:i4>
      </vt:variant>
    </vt:vector>
  </HeadingPairs>
  <TitlesOfParts>
    <vt:vector size="164" baseType="lpstr">
      <vt:lpstr>Introduction</vt:lpstr>
      <vt:lpstr>Directions</vt:lpstr>
      <vt:lpstr>DATA</vt:lpstr>
      <vt:lpstr>TABLES</vt:lpstr>
      <vt:lpstr>LISTS</vt:lpstr>
      <vt:lpstr>Corrections Tables</vt:lpstr>
      <vt:lpstr>Corrections Calculations</vt:lpstr>
      <vt:lpstr>Sheet1</vt:lpstr>
      <vt:lpstr>_</vt:lpstr>
      <vt:lpstr>_Address</vt:lpstr>
      <vt:lpstr>_Altitude</vt:lpstr>
      <vt:lpstr>_AltType</vt:lpstr>
      <vt:lpstr>_Aperture</vt:lpstr>
      <vt:lpstr>_AppType</vt:lpstr>
      <vt:lpstr>_ASHr</vt:lpstr>
      <vt:lpstr>_ASMi</vt:lpstr>
      <vt:lpstr>_ASRem</vt:lpstr>
      <vt:lpstr>_ASSe</vt:lpstr>
      <vt:lpstr>_AstName</vt:lpstr>
      <vt:lpstr>_AstNum</vt:lpstr>
      <vt:lpstr>_AstVisible</vt:lpstr>
      <vt:lpstr>_CAHr</vt:lpstr>
      <vt:lpstr>_CamDelApplied</vt:lpstr>
      <vt:lpstr>_CamExpArrayHeader</vt:lpstr>
      <vt:lpstr>_CamExpArrayTable</vt:lpstr>
      <vt:lpstr>_CamFormat</vt:lpstr>
      <vt:lpstr>_CAMi</vt:lpstr>
      <vt:lpstr>_CamIDelay</vt:lpstr>
      <vt:lpstr>_CamOther</vt:lpstr>
      <vt:lpstr>_CamType</vt:lpstr>
      <vt:lpstr>_CamUnit</vt:lpstr>
      <vt:lpstr>_CamX</vt:lpstr>
      <vt:lpstr>_CARem</vt:lpstr>
      <vt:lpstr>_CASe</vt:lpstr>
      <vt:lpstr>_City</vt:lpstr>
      <vt:lpstr>_Cloud</vt:lpstr>
      <vt:lpstr>_CorrD_Name</vt:lpstr>
      <vt:lpstr>_CorrR_Name</vt:lpstr>
      <vt:lpstr>_DAcc</vt:lpstr>
      <vt:lpstr>_Datum</vt:lpstr>
      <vt:lpstr>_Day</vt:lpstr>
      <vt:lpstr>_DHr</vt:lpstr>
      <vt:lpstr>_DMi</vt:lpstr>
      <vt:lpstr>_DPE</vt:lpstr>
      <vt:lpstr>_DPEApp</vt:lpstr>
      <vt:lpstr>_DRem</vt:lpstr>
      <vt:lpstr>_DSe</vt:lpstr>
      <vt:lpstr>_EOHr</vt:lpstr>
      <vt:lpstr>_EOMi</vt:lpstr>
      <vt:lpstr>_EORem</vt:lpstr>
      <vt:lpstr>_EorW</vt:lpstr>
      <vt:lpstr>_EOSe</vt:lpstr>
      <vt:lpstr>_ExpDropDownList</vt:lpstr>
      <vt:lpstr>_Exposure</vt:lpstr>
      <vt:lpstr>_Fax</vt:lpstr>
      <vt:lpstr>_fRatio</vt:lpstr>
      <vt:lpstr>_Latitude</vt:lpstr>
      <vt:lpstr>_LatType</vt:lpstr>
      <vt:lpstr>_Location</vt:lpstr>
      <vt:lpstr>_Longitude</vt:lpstr>
      <vt:lpstr>_LonType</vt:lpstr>
      <vt:lpstr>_Mag</vt:lpstr>
      <vt:lpstr>_Mialto</vt:lpstr>
      <vt:lpstr>_Miss</vt:lpstr>
      <vt:lpstr>_Month</vt:lpstr>
      <vt:lpstr>_NorS</vt:lpstr>
      <vt:lpstr>_Observer</vt:lpstr>
      <vt:lpstr>_OTA_Used</vt:lpstr>
      <vt:lpstr>_OTE_List</vt:lpstr>
      <vt:lpstr>_OtherCond</vt:lpstr>
      <vt:lpstr>_Phone</vt:lpstr>
      <vt:lpstr>_PHour</vt:lpstr>
      <vt:lpstr>_PMin</vt:lpstr>
      <vt:lpstr>_PosNeg</vt:lpstr>
      <vt:lpstr>_PSec</vt:lpstr>
      <vt:lpstr>_RAcc</vt:lpstr>
      <vt:lpstr>_Remark1</vt:lpstr>
      <vt:lpstr>_Remark2</vt:lpstr>
      <vt:lpstr>_Remark3</vt:lpstr>
      <vt:lpstr>_RHr</vt:lpstr>
      <vt:lpstr>_RMi</vt:lpstr>
      <vt:lpstr>_RPE</vt:lpstr>
      <vt:lpstr>_RPEApp</vt:lpstr>
      <vt:lpstr>_RRem</vt:lpstr>
      <vt:lpstr>_RSe</vt:lpstr>
      <vt:lpstr>_RunCamInt</vt:lpstr>
      <vt:lpstr>_SAMi</vt:lpstr>
      <vt:lpstr>_ScopeType</vt:lpstr>
      <vt:lpstr>_SecondStar</vt:lpstr>
      <vt:lpstr>_SMHr</vt:lpstr>
      <vt:lpstr>_SMMi</vt:lpstr>
      <vt:lpstr>_SMRem</vt:lpstr>
      <vt:lpstr>_SMSe</vt:lpstr>
      <vt:lpstr>_SNR</vt:lpstr>
      <vt:lpstr>_SOHr</vt:lpstr>
      <vt:lpstr>_SOMi</vt:lpstr>
      <vt:lpstr>_SORem</vt:lpstr>
      <vt:lpstr>_SOSe</vt:lpstr>
      <vt:lpstr>_Stability</vt:lpstr>
      <vt:lpstr>_StarCat</vt:lpstr>
      <vt:lpstr>_StarNum</vt:lpstr>
      <vt:lpstr>_TimeMethod</vt:lpstr>
      <vt:lpstr>_TimeSource</vt:lpstr>
      <vt:lpstr>_Version</vt:lpstr>
      <vt:lpstr>_VTI_Type</vt:lpstr>
      <vt:lpstr>_Year</vt:lpstr>
      <vt:lpstr>_YValue</vt:lpstr>
      <vt:lpstr>Altitude</vt:lpstr>
      <vt:lpstr>CameraRate</vt:lpstr>
      <vt:lpstr>Clouds</vt:lpstr>
      <vt:lpstr>Conditions</vt:lpstr>
      <vt:lpstr>Cor_Camera_List</vt:lpstr>
      <vt:lpstr>Corrected_Calculations</vt:lpstr>
      <vt:lpstr>Datum</vt:lpstr>
      <vt:lpstr>DDecHr</vt:lpstr>
      <vt:lpstr>DDecMin</vt:lpstr>
      <vt:lpstr>DDecSec</vt:lpstr>
      <vt:lpstr>DDecTotal</vt:lpstr>
      <vt:lpstr>DegMinSec</vt:lpstr>
      <vt:lpstr>DegMinSecs</vt:lpstr>
      <vt:lpstr>Degrees</vt:lpstr>
      <vt:lpstr>Detector</vt:lpstr>
      <vt:lpstr>DTime_Equivalent_of_Tot_Corr</vt:lpstr>
      <vt:lpstr>DTotal_Corr</vt:lpstr>
      <vt:lpstr>Format2</vt:lpstr>
      <vt:lpstr>InchCm</vt:lpstr>
      <vt:lpstr>Latitude</vt:lpstr>
      <vt:lpstr>Longitude</vt:lpstr>
      <vt:lpstr>Method</vt:lpstr>
      <vt:lpstr>Miss</vt:lpstr>
      <vt:lpstr>Months</vt:lpstr>
      <vt:lpstr>NTSC_CORR</vt:lpstr>
      <vt:lpstr>NTSC_CORR_R</vt:lpstr>
      <vt:lpstr>OTA</vt:lpstr>
      <vt:lpstr>PAL_CORR</vt:lpstr>
      <vt:lpstr>PAL_CORR_R</vt:lpstr>
      <vt:lpstr>PE_2</vt:lpstr>
      <vt:lpstr>DATA!Print_Area</vt:lpstr>
      <vt:lpstr>RDecHr</vt:lpstr>
      <vt:lpstr>RDecMin</vt:lpstr>
      <vt:lpstr>RDecSec</vt:lpstr>
      <vt:lpstr>RDecTotal</vt:lpstr>
      <vt:lpstr>Results</vt:lpstr>
      <vt:lpstr>RIO</vt:lpstr>
      <vt:lpstr>RTime_Equivalent_of_Tot_Corr</vt:lpstr>
      <vt:lpstr>RTotal_Corr</vt:lpstr>
      <vt:lpstr>RunCamInt</vt:lpstr>
      <vt:lpstr>Seeing</vt:lpstr>
      <vt:lpstr>Stability</vt:lpstr>
      <vt:lpstr>Star</vt:lpstr>
      <vt:lpstr>Stars</vt:lpstr>
      <vt:lpstr>Telescope</vt:lpstr>
      <vt:lpstr>Telescopes</vt:lpstr>
      <vt:lpstr>Timer</vt:lpstr>
      <vt:lpstr>Timer2</vt:lpstr>
      <vt:lpstr>Timers</vt:lpstr>
      <vt:lpstr>TimeSource</vt:lpstr>
      <vt:lpstr>Timing</vt:lpstr>
      <vt:lpstr>Units</vt:lpstr>
      <vt:lpstr>VTIoff_NTSC_EIA</vt:lpstr>
      <vt:lpstr>VTIoff_PAL_CCIR</vt:lpstr>
      <vt:lpstr>Weight</vt:lpstr>
      <vt:lpstr>Year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Timerson</dc:creator>
  <cp:lastModifiedBy>Steve Preston</cp:lastModifiedBy>
  <cp:lastPrinted>2006-11-18T01:40:44Z</cp:lastPrinted>
  <dcterms:created xsi:type="dcterms:W3CDTF">2006-10-10T13:54:28Z</dcterms:created>
  <dcterms:modified xsi:type="dcterms:W3CDTF">2023-12-04T22:11:02Z</dcterms:modified>
</cp:coreProperties>
</file>